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Šī_darbgrāmata"/>
  <mc:AlternateContent xmlns:mc="http://schemas.openxmlformats.org/markup-compatibility/2006">
    <mc:Choice Requires="x15">
      <x15ac:absPath xmlns:x15ac="http://schemas.microsoft.com/office/spreadsheetml/2010/11/ac" url="D:\Dokumenti\2021 gads\BUDZETS\IV_ceturksnis\"/>
    </mc:Choice>
  </mc:AlternateContent>
  <xr:revisionPtr revIDLastSave="0" documentId="13_ncr:1_{7F4C27BF-C226-4A7C-A3E3-A003799E73F6}" xr6:coauthVersionLast="47" xr6:coauthVersionMax="47" xr10:uidLastSave="{00000000-0000-0000-0000-000000000000}"/>
  <bookViews>
    <workbookView xWindow="-28920" yWindow="30" windowWidth="29040" windowHeight="15840" activeTab="3" xr2:uid="{00000000-000D-0000-FFFF-FFFF00000000}"/>
  </bookViews>
  <sheets>
    <sheet name="Budžeta_tāme" sheetId="2" r:id="rId1"/>
    <sheet name="PZ_aprēķins" sheetId="12" r:id="rId2"/>
    <sheet name="Bilance" sheetId="11" r:id="rId3"/>
    <sheet name="Naudas_plūsma" sheetId="5" r:id="rId4"/>
    <sheet name="Naturālie_rādītāji" sheetId="10" r:id="rId5"/>
    <sheet name="Ieguldījumu_tāme" sheetId="9" r:id="rId6"/>
    <sheet name="Kreditori_Debitori" sheetId="14" r:id="rId7"/>
  </sheets>
  <externalReferences>
    <externalReference r:id="rId8"/>
  </externalReferences>
  <definedNames>
    <definedName name="dff">#NAME?</definedName>
    <definedName name="_xlnm.Print_Area" localSheetId="2">Bilance!$A$1:$G$27</definedName>
    <definedName name="_xlnm.Print_Area" localSheetId="0">Budžeta_tāme!$A$1:$G$173</definedName>
    <definedName name="_xlnm.Print_Area" localSheetId="4">Naturālie_rādītāji!$A$1:$M$106</definedName>
    <definedName name="_xlnm.Print_Area" localSheetId="3">Naudas_plūsma!$A$45:$H$105</definedName>
    <definedName name="_xlnm.Print_Titles" localSheetId="4">Naturālie_rādītāji!$1:$2</definedName>
    <definedName name="hh" localSheetId="4">#REF!</definedName>
    <definedName name="hh">#REF!</definedName>
    <definedName name="izm.kods" localSheetId="4">#REF!</definedName>
    <definedName name="izm.kods">#REF!</definedName>
    <definedName name="izm.kods_1">[1]izm.posteni!$A$2:$A$216</definedName>
    <definedName name="izm.nos">#REF!</definedName>
    <definedName name="izm.nos_1">[1]izm.posteni!$B$2:$B$216</definedName>
    <definedName name="S5\">#REF!</definedName>
    <definedName name="Str.">#REF!</definedName>
    <definedName name="Str.vien.nos.">#REF!</definedName>
    <definedName name="Struktura">#REF!</definedName>
    <definedName name="Struktūrvien.kodi2">#REF!</definedName>
    <definedName name="Struktūrvien.kodi2_1">[1]strukturkodi!$B$2:$B$232</definedName>
    <definedName name="Struktūrvien.kods">#REF!</definedName>
    <definedName name="Struktūrvien.kods_1">[1]strukturkodi!$A$2:$A$232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1" i="5" l="1"/>
  <c r="G117" i="5"/>
  <c r="G120" i="5"/>
  <c r="G123" i="5"/>
  <c r="G110" i="5"/>
  <c r="G107" i="5"/>
  <c r="E88" i="5"/>
  <c r="G85" i="5"/>
  <c r="G12" i="9"/>
  <c r="G70" i="9"/>
  <c r="G6" i="9"/>
  <c r="G82" i="9"/>
  <c r="G97" i="9"/>
  <c r="G90" i="9"/>
  <c r="G95" i="9"/>
  <c r="F22" i="9"/>
  <c r="C83" i="14"/>
  <c r="C100" i="14"/>
  <c r="C78" i="14"/>
  <c r="C68" i="14"/>
  <c r="C48" i="14"/>
  <c r="C39" i="14"/>
  <c r="C17" i="14"/>
  <c r="F29" i="11"/>
  <c r="F55" i="11"/>
  <c r="G26" i="11"/>
  <c r="G33" i="2"/>
  <c r="G189" i="2"/>
  <c r="G188" i="2"/>
  <c r="G30" i="2"/>
  <c r="G18" i="11"/>
  <c r="G105" i="2"/>
  <c r="G11" i="11"/>
  <c r="G22" i="11"/>
  <c r="G6" i="11"/>
  <c r="G3" i="11"/>
  <c r="G48" i="11"/>
  <c r="G44" i="11"/>
  <c r="G43" i="11"/>
  <c r="G10" i="11"/>
  <c r="G27" i="11"/>
  <c r="G5" i="12"/>
  <c r="G15" i="12"/>
  <c r="G22" i="12"/>
  <c r="F5" i="12"/>
  <c r="G126" i="2"/>
  <c r="G125" i="2"/>
  <c r="G181" i="2"/>
  <c r="G30" i="11"/>
  <c r="G33" i="11"/>
  <c r="G29" i="11"/>
  <c r="G141" i="2"/>
  <c r="G55" i="11"/>
  <c r="G183" i="2"/>
  <c r="G5" i="2"/>
  <c r="F6" i="2"/>
  <c r="D6" i="2"/>
  <c r="G13" i="2"/>
  <c r="G16" i="2"/>
  <c r="G25" i="2"/>
  <c r="G61" i="2"/>
  <c r="G64" i="2"/>
  <c r="G69" i="2"/>
  <c r="G75" i="2"/>
  <c r="G83" i="2"/>
  <c r="G91" i="2"/>
  <c r="G97" i="2"/>
  <c r="G104" i="2"/>
  <c r="G109" i="2"/>
  <c r="G115" i="2"/>
  <c r="G121" i="2"/>
  <c r="G124" i="2"/>
  <c r="G129" i="2"/>
  <c r="G140" i="2"/>
  <c r="G139" i="2"/>
  <c r="G165" i="2"/>
  <c r="G173" i="2"/>
  <c r="G60" i="2"/>
  <c r="G114" i="2"/>
  <c r="G103" i="2"/>
  <c r="G67" i="2"/>
  <c r="G4" i="2"/>
  <c r="G3" i="2"/>
  <c r="G182" i="2"/>
  <c r="G59" i="2"/>
  <c r="G34" i="2"/>
  <c r="G163" i="2"/>
  <c r="G191" i="2"/>
  <c r="G164" i="2"/>
  <c r="G172" i="2"/>
  <c r="K88" i="10"/>
  <c r="H88" i="10"/>
  <c r="I88" i="10"/>
  <c r="E59" i="11"/>
  <c r="E58" i="11"/>
  <c r="E57" i="11"/>
  <c r="G138" i="5"/>
  <c r="G30" i="5"/>
  <c r="G39" i="5"/>
  <c r="G35" i="5"/>
  <c r="G27" i="5"/>
  <c r="G42" i="5"/>
  <c r="F130" i="5"/>
  <c r="G7" i="5"/>
  <c r="G40" i="5"/>
  <c r="G34" i="5"/>
  <c r="G33" i="5"/>
  <c r="G28" i="5"/>
  <c r="F72" i="5"/>
  <c r="F55" i="5"/>
  <c r="F53" i="5"/>
  <c r="F105" i="5"/>
  <c r="F133" i="5"/>
  <c r="F138" i="5"/>
  <c r="E138" i="5"/>
  <c r="D114" i="5"/>
  <c r="E114" i="5"/>
  <c r="E110" i="5"/>
  <c r="E107" i="5"/>
  <c r="C114" i="5"/>
  <c r="E72" i="5"/>
  <c r="E55" i="5"/>
  <c r="E53" i="5"/>
  <c r="E105" i="5"/>
  <c r="C186" i="2"/>
  <c r="C189" i="2"/>
  <c r="C142" i="2"/>
  <c r="C181" i="2"/>
  <c r="E130" i="5"/>
  <c r="C188" i="2"/>
  <c r="C125" i="2"/>
  <c r="C82" i="2"/>
  <c r="C88" i="2"/>
  <c r="C14" i="2"/>
  <c r="C33" i="2"/>
  <c r="C28" i="2"/>
  <c r="C5" i="2"/>
  <c r="C95" i="14"/>
  <c r="C26" i="14"/>
  <c r="C64" i="14"/>
  <c r="G62" i="9"/>
  <c r="G63" i="9"/>
  <c r="G60" i="9"/>
  <c r="G59" i="9"/>
  <c r="E22" i="9"/>
  <c r="E21" i="9"/>
  <c r="C3" i="14"/>
  <c r="D30" i="11"/>
  <c r="K21" i="12"/>
  <c r="L21" i="12"/>
  <c r="H21" i="12"/>
  <c r="I21" i="12"/>
  <c r="K20" i="12"/>
  <c r="L20" i="12"/>
  <c r="H20" i="12"/>
  <c r="I20" i="12"/>
  <c r="K19" i="12"/>
  <c r="L19" i="12"/>
  <c r="H19" i="12"/>
  <c r="I19" i="12"/>
  <c r="K18" i="12"/>
  <c r="L18" i="12"/>
  <c r="H18" i="12"/>
  <c r="I18" i="12"/>
  <c r="K17" i="12"/>
  <c r="L17" i="12"/>
  <c r="H17" i="12"/>
  <c r="I17" i="12"/>
  <c r="K16" i="12"/>
  <c r="L16" i="12"/>
  <c r="H16" i="12"/>
  <c r="I16" i="12"/>
  <c r="K14" i="12"/>
  <c r="L14" i="12"/>
  <c r="H14" i="12"/>
  <c r="I14" i="12"/>
  <c r="K13" i="12"/>
  <c r="L13" i="12"/>
  <c r="H13" i="12"/>
  <c r="I13" i="12"/>
  <c r="K12" i="12"/>
  <c r="L12" i="12"/>
  <c r="H12" i="12"/>
  <c r="I12" i="12"/>
  <c r="K11" i="12"/>
  <c r="L11" i="12"/>
  <c r="H11" i="12"/>
  <c r="I11" i="12"/>
  <c r="K10" i="12"/>
  <c r="L10" i="12"/>
  <c r="H10" i="12"/>
  <c r="I10" i="12"/>
  <c r="K9" i="12"/>
  <c r="L9" i="12"/>
  <c r="H9" i="12"/>
  <c r="I9" i="12"/>
  <c r="K8" i="12"/>
  <c r="L8" i="12"/>
  <c r="H8" i="12"/>
  <c r="I8" i="12"/>
  <c r="K7" i="12"/>
  <c r="L7" i="12"/>
  <c r="H7" i="12"/>
  <c r="I7" i="12"/>
  <c r="K6" i="12"/>
  <c r="L6" i="12"/>
  <c r="H6" i="12"/>
  <c r="I6" i="12"/>
  <c r="H5" i="12"/>
  <c r="I5" i="12"/>
  <c r="C5" i="12"/>
  <c r="C15" i="12"/>
  <c r="K4" i="12"/>
  <c r="L4" i="12"/>
  <c r="H4" i="12"/>
  <c r="I4" i="12"/>
  <c r="K3" i="12"/>
  <c r="L3" i="12"/>
  <c r="H3" i="12"/>
  <c r="I3" i="12"/>
  <c r="I6" i="2"/>
  <c r="K5" i="12"/>
  <c r="L5" i="12"/>
  <c r="H15" i="12"/>
  <c r="I15" i="12"/>
  <c r="K15" i="12"/>
  <c r="L15" i="12"/>
  <c r="K22" i="12"/>
  <c r="L22" i="12"/>
  <c r="H22" i="12"/>
  <c r="I22" i="12"/>
  <c r="F88" i="9"/>
  <c r="D88" i="9"/>
  <c r="G93" i="9"/>
  <c r="H93" i="9"/>
  <c r="F4" i="9"/>
  <c r="F6" i="9"/>
  <c r="F8" i="9"/>
  <c r="F10" i="9"/>
  <c r="F12" i="9"/>
  <c r="F3" i="9"/>
  <c r="K18" i="10"/>
  <c r="K54" i="11"/>
  <c r="L54" i="11"/>
  <c r="H54" i="11"/>
  <c r="I54" i="11"/>
  <c r="K53" i="11"/>
  <c r="L53" i="11"/>
  <c r="H53" i="11"/>
  <c r="I53" i="11"/>
  <c r="K52" i="11"/>
  <c r="L52" i="11"/>
  <c r="H52" i="11"/>
  <c r="I52" i="11"/>
  <c r="K51" i="11"/>
  <c r="L51" i="11"/>
  <c r="H51" i="11"/>
  <c r="I51" i="11"/>
  <c r="K50" i="11"/>
  <c r="L50" i="11"/>
  <c r="H50" i="11"/>
  <c r="I50" i="11"/>
  <c r="K49" i="11"/>
  <c r="L49" i="11"/>
  <c r="H49" i="11"/>
  <c r="I49" i="11"/>
  <c r="H48" i="11"/>
  <c r="I48" i="11"/>
  <c r="D48" i="11"/>
  <c r="C48" i="11"/>
  <c r="K47" i="11"/>
  <c r="L47" i="11"/>
  <c r="H47" i="11"/>
  <c r="I47" i="11"/>
  <c r="K46" i="11"/>
  <c r="L46" i="11"/>
  <c r="H46" i="11"/>
  <c r="I46" i="11"/>
  <c r="K45" i="11"/>
  <c r="L45" i="11"/>
  <c r="H45" i="11"/>
  <c r="I45" i="11"/>
  <c r="H44" i="11"/>
  <c r="I44" i="11"/>
  <c r="D44" i="11"/>
  <c r="C44" i="11"/>
  <c r="K42" i="11"/>
  <c r="L42" i="11"/>
  <c r="H42" i="11"/>
  <c r="I42" i="11"/>
  <c r="K41" i="11"/>
  <c r="L41" i="11"/>
  <c r="H41" i="11"/>
  <c r="I41" i="11"/>
  <c r="K40" i="11"/>
  <c r="L40" i="11"/>
  <c r="H40" i="11"/>
  <c r="I40" i="11"/>
  <c r="D40" i="11"/>
  <c r="C40" i="11"/>
  <c r="K39" i="11"/>
  <c r="L39" i="11"/>
  <c r="H39" i="11"/>
  <c r="I39" i="11"/>
  <c r="K38" i="11"/>
  <c r="L38" i="11"/>
  <c r="H38" i="11"/>
  <c r="I38" i="11"/>
  <c r="K37" i="11"/>
  <c r="L37" i="11"/>
  <c r="H37" i="11"/>
  <c r="I37" i="11"/>
  <c r="K36" i="11"/>
  <c r="L36" i="11"/>
  <c r="H36" i="11"/>
  <c r="I36" i="11"/>
  <c r="K35" i="11"/>
  <c r="L35" i="11"/>
  <c r="H35" i="11"/>
  <c r="I35" i="11"/>
  <c r="K34" i="11"/>
  <c r="L34" i="11"/>
  <c r="H34" i="11"/>
  <c r="I34" i="11"/>
  <c r="H33" i="11"/>
  <c r="I33" i="11"/>
  <c r="D33" i="11"/>
  <c r="C33" i="11"/>
  <c r="K32" i="11"/>
  <c r="L32" i="11"/>
  <c r="H32" i="11"/>
  <c r="I32" i="11"/>
  <c r="K31" i="11"/>
  <c r="L31" i="11"/>
  <c r="H31" i="11"/>
  <c r="I31" i="11"/>
  <c r="K30" i="11"/>
  <c r="L30" i="11"/>
  <c r="C30" i="11"/>
  <c r="K26" i="11"/>
  <c r="L26" i="11"/>
  <c r="H26" i="11"/>
  <c r="I26" i="11"/>
  <c r="H25" i="11"/>
  <c r="I25" i="11"/>
  <c r="K25" i="11"/>
  <c r="L25" i="11"/>
  <c r="K24" i="11"/>
  <c r="L24" i="11"/>
  <c r="H24" i="11"/>
  <c r="I24" i="11"/>
  <c r="K23" i="11"/>
  <c r="L23" i="11"/>
  <c r="I23" i="11"/>
  <c r="H22" i="11"/>
  <c r="I22" i="11"/>
  <c r="K22" i="11"/>
  <c r="L22" i="11"/>
  <c r="K21" i="11"/>
  <c r="L21" i="11"/>
  <c r="H21" i="11"/>
  <c r="I21" i="11"/>
  <c r="K20" i="11"/>
  <c r="L20" i="11"/>
  <c r="H20" i="11"/>
  <c r="I20" i="11"/>
  <c r="K19" i="11"/>
  <c r="L19" i="11"/>
  <c r="H19" i="11"/>
  <c r="I19" i="11"/>
  <c r="G59" i="11"/>
  <c r="D18" i="11"/>
  <c r="D59" i="11"/>
  <c r="C18" i="11"/>
  <c r="C59" i="11"/>
  <c r="K17" i="11"/>
  <c r="L17" i="11"/>
  <c r="H17" i="11"/>
  <c r="I17" i="11"/>
  <c r="K16" i="11"/>
  <c r="L16" i="11"/>
  <c r="H16" i="11"/>
  <c r="I16" i="11"/>
  <c r="K15" i="11"/>
  <c r="L15" i="11"/>
  <c r="H15" i="11"/>
  <c r="I15" i="11"/>
  <c r="K14" i="11"/>
  <c r="L14" i="11"/>
  <c r="H14" i="11"/>
  <c r="I14" i="11"/>
  <c r="K13" i="11"/>
  <c r="L13" i="11"/>
  <c r="H13" i="11"/>
  <c r="I13" i="11"/>
  <c r="K12" i="11"/>
  <c r="L12" i="11"/>
  <c r="H12" i="11"/>
  <c r="I12" i="11"/>
  <c r="G58" i="11"/>
  <c r="D11" i="11"/>
  <c r="D58" i="11"/>
  <c r="C11" i="11"/>
  <c r="C58" i="11"/>
  <c r="K9" i="11"/>
  <c r="L9" i="11"/>
  <c r="H9" i="11"/>
  <c r="I9" i="11"/>
  <c r="K8" i="11"/>
  <c r="L8" i="11"/>
  <c r="H8" i="11"/>
  <c r="I8" i="11"/>
  <c r="K7" i="11"/>
  <c r="L7" i="11"/>
  <c r="H7" i="11"/>
  <c r="I7" i="11"/>
  <c r="H3" i="11"/>
  <c r="D6" i="11"/>
  <c r="D3" i="11"/>
  <c r="C6" i="11"/>
  <c r="C3" i="11"/>
  <c r="K5" i="11"/>
  <c r="L5" i="11"/>
  <c r="H5" i="11"/>
  <c r="I5" i="11"/>
  <c r="K4" i="11"/>
  <c r="L4" i="11"/>
  <c r="H4" i="11"/>
  <c r="I4" i="11"/>
  <c r="K104" i="9"/>
  <c r="H104" i="9"/>
  <c r="I104" i="9"/>
  <c r="K103" i="9"/>
  <c r="H103" i="9"/>
  <c r="I103" i="9"/>
  <c r="K102" i="9"/>
  <c r="F102" i="9"/>
  <c r="H102" i="9"/>
  <c r="I102" i="9"/>
  <c r="D102" i="9"/>
  <c r="C102" i="9"/>
  <c r="K101" i="9"/>
  <c r="H101" i="9"/>
  <c r="I101" i="9"/>
  <c r="K100" i="9"/>
  <c r="H100" i="9"/>
  <c r="I100" i="9"/>
  <c r="K99" i="9"/>
  <c r="F99" i="9"/>
  <c r="D99" i="9"/>
  <c r="C99" i="9"/>
  <c r="K94" i="9"/>
  <c r="H94" i="9"/>
  <c r="I94" i="9"/>
  <c r="K93" i="9"/>
  <c r="K92" i="9"/>
  <c r="H92" i="9"/>
  <c r="I92" i="9"/>
  <c r="K89" i="9"/>
  <c r="H89" i="9"/>
  <c r="I89" i="9"/>
  <c r="G88" i="9"/>
  <c r="K88" i="9"/>
  <c r="L88" i="9"/>
  <c r="K87" i="9"/>
  <c r="H87" i="9"/>
  <c r="I87" i="9"/>
  <c r="K83" i="9"/>
  <c r="H83" i="9"/>
  <c r="I83" i="9"/>
  <c r="K82" i="9"/>
  <c r="L82" i="9"/>
  <c r="D82" i="9"/>
  <c r="K81" i="9"/>
  <c r="H81" i="9"/>
  <c r="I81" i="9"/>
  <c r="K80" i="9"/>
  <c r="H80" i="9"/>
  <c r="I80" i="9"/>
  <c r="K79" i="9"/>
  <c r="L79" i="9"/>
  <c r="H79" i="9"/>
  <c r="I79" i="9"/>
  <c r="D79" i="9"/>
  <c r="C79" i="9"/>
  <c r="K78" i="9"/>
  <c r="H78" i="9"/>
  <c r="I78" i="9"/>
  <c r="K77" i="9"/>
  <c r="H77" i="9"/>
  <c r="I77" i="9"/>
  <c r="K76" i="9"/>
  <c r="H76" i="9"/>
  <c r="I76" i="9"/>
  <c r="D76" i="9"/>
  <c r="K72" i="9"/>
  <c r="H72" i="9"/>
  <c r="I72" i="9"/>
  <c r="K71" i="9"/>
  <c r="H71" i="9"/>
  <c r="I71" i="9"/>
  <c r="K70" i="9"/>
  <c r="H70" i="9"/>
  <c r="I70" i="9"/>
  <c r="K69" i="9"/>
  <c r="H69" i="9"/>
  <c r="I69" i="9"/>
  <c r="K68" i="9"/>
  <c r="H68" i="9"/>
  <c r="I68" i="9"/>
  <c r="K67" i="9"/>
  <c r="H67" i="9"/>
  <c r="I67" i="9"/>
  <c r="K66" i="9"/>
  <c r="H66" i="9"/>
  <c r="I66" i="9"/>
  <c r="K65" i="9"/>
  <c r="H65" i="9"/>
  <c r="I65" i="9"/>
  <c r="K64" i="9"/>
  <c r="H64" i="9"/>
  <c r="I64" i="9"/>
  <c r="K63" i="9"/>
  <c r="H63" i="9"/>
  <c r="I63" i="9"/>
  <c r="K62" i="9"/>
  <c r="H62" i="9"/>
  <c r="I62" i="9"/>
  <c r="K61" i="9"/>
  <c r="H61" i="9"/>
  <c r="I61" i="9"/>
  <c r="H60" i="9"/>
  <c r="I60" i="9"/>
  <c r="K60" i="9"/>
  <c r="K59" i="9"/>
  <c r="H59" i="9"/>
  <c r="I59" i="9"/>
  <c r="G57" i="9"/>
  <c r="H57" i="9"/>
  <c r="I57" i="9"/>
  <c r="K56" i="9"/>
  <c r="H56" i="9"/>
  <c r="I56" i="9"/>
  <c r="G55" i="9"/>
  <c r="K55" i="9"/>
  <c r="K54" i="9"/>
  <c r="H54" i="9"/>
  <c r="I54" i="9"/>
  <c r="G53" i="9"/>
  <c r="K53" i="9"/>
  <c r="K52" i="9"/>
  <c r="H52" i="9"/>
  <c r="I52" i="9"/>
  <c r="K51" i="9"/>
  <c r="H51" i="9"/>
  <c r="I51" i="9"/>
  <c r="K50" i="9"/>
  <c r="H50" i="9"/>
  <c r="I50" i="9"/>
  <c r="K49" i="9"/>
  <c r="H49" i="9"/>
  <c r="I49" i="9"/>
  <c r="K48" i="9"/>
  <c r="H48" i="9"/>
  <c r="I48" i="9"/>
  <c r="K47" i="9"/>
  <c r="H47" i="9"/>
  <c r="I47" i="9"/>
  <c r="K46" i="9"/>
  <c r="H46" i="9"/>
  <c r="I46" i="9"/>
  <c r="K45" i="9"/>
  <c r="H45" i="9"/>
  <c r="I45" i="9"/>
  <c r="K44" i="9"/>
  <c r="H44" i="9"/>
  <c r="I44" i="9"/>
  <c r="G43" i="9"/>
  <c r="H43" i="9"/>
  <c r="I43" i="9"/>
  <c r="K42" i="9"/>
  <c r="H42" i="9"/>
  <c r="I42" i="9"/>
  <c r="K41" i="9"/>
  <c r="H41" i="9"/>
  <c r="I41" i="9"/>
  <c r="K40" i="9"/>
  <c r="H40" i="9"/>
  <c r="I40" i="9"/>
  <c r="K39" i="9"/>
  <c r="H39" i="9"/>
  <c r="I39" i="9"/>
  <c r="K38" i="9"/>
  <c r="H38" i="9"/>
  <c r="I38" i="9"/>
  <c r="K37" i="9"/>
  <c r="H37" i="9"/>
  <c r="I37" i="9"/>
  <c r="K36" i="9"/>
  <c r="H36" i="9"/>
  <c r="I36" i="9"/>
  <c r="K35" i="9"/>
  <c r="H35" i="9"/>
  <c r="I35" i="9"/>
  <c r="K34" i="9"/>
  <c r="H34" i="9"/>
  <c r="I34" i="9"/>
  <c r="K33" i="9"/>
  <c r="H33" i="9"/>
  <c r="I33" i="9"/>
  <c r="K32" i="9"/>
  <c r="H32" i="9"/>
  <c r="I32" i="9"/>
  <c r="K31" i="9"/>
  <c r="H31" i="9"/>
  <c r="I31" i="9"/>
  <c r="K30" i="9"/>
  <c r="H30" i="9"/>
  <c r="I30" i="9"/>
  <c r="K29" i="9"/>
  <c r="H29" i="9"/>
  <c r="I29" i="9"/>
  <c r="K28" i="9"/>
  <c r="H28" i="9"/>
  <c r="I28" i="9"/>
  <c r="K27" i="9"/>
  <c r="H27" i="9"/>
  <c r="I27" i="9"/>
  <c r="K26" i="9"/>
  <c r="H26" i="9"/>
  <c r="I26" i="9"/>
  <c r="K25" i="9"/>
  <c r="H25" i="9"/>
  <c r="I25" i="9"/>
  <c r="K24" i="9"/>
  <c r="H24" i="9"/>
  <c r="I24" i="9"/>
  <c r="D23" i="9"/>
  <c r="C22" i="9"/>
  <c r="K19" i="9"/>
  <c r="K18" i="9"/>
  <c r="H18" i="9"/>
  <c r="I18" i="9"/>
  <c r="K17" i="9"/>
  <c r="H17" i="9"/>
  <c r="I17" i="9"/>
  <c r="K16" i="9"/>
  <c r="H16" i="9"/>
  <c r="I16" i="9"/>
  <c r="K15" i="9"/>
  <c r="H15" i="9"/>
  <c r="I15" i="9"/>
  <c r="K14" i="9"/>
  <c r="H14" i="9"/>
  <c r="I14" i="9"/>
  <c r="K13" i="9"/>
  <c r="H13" i="9"/>
  <c r="I13" i="9"/>
  <c r="E12" i="9"/>
  <c r="E105" i="9"/>
  <c r="D12" i="9"/>
  <c r="C12" i="9"/>
  <c r="K11" i="9"/>
  <c r="H11" i="9"/>
  <c r="I11" i="9"/>
  <c r="K10" i="9"/>
  <c r="H10" i="9"/>
  <c r="I10" i="9"/>
  <c r="D10" i="9"/>
  <c r="C10" i="9"/>
  <c r="K9" i="9"/>
  <c r="H9" i="9"/>
  <c r="I9" i="9"/>
  <c r="G8" i="9"/>
  <c r="G3" i="9"/>
  <c r="D8" i="9"/>
  <c r="C8" i="9"/>
  <c r="K7" i="9"/>
  <c r="H7" i="9"/>
  <c r="I7" i="9"/>
  <c r="K6" i="9"/>
  <c r="D6" i="9"/>
  <c r="C6" i="9"/>
  <c r="K5" i="9"/>
  <c r="H5" i="9"/>
  <c r="I5" i="9"/>
  <c r="K4" i="9"/>
  <c r="H4" i="9"/>
  <c r="I4" i="9"/>
  <c r="D4" i="9"/>
  <c r="C4" i="9"/>
  <c r="C56" i="14"/>
  <c r="C30" i="14"/>
  <c r="C43" i="11"/>
  <c r="D43" i="11"/>
  <c r="H55" i="9"/>
  <c r="I55" i="9"/>
  <c r="H53" i="9"/>
  <c r="I53" i="9"/>
  <c r="K43" i="9"/>
  <c r="G23" i="9"/>
  <c r="F21" i="9"/>
  <c r="H43" i="11"/>
  <c r="I43" i="11"/>
  <c r="D29" i="11"/>
  <c r="H30" i="11"/>
  <c r="I30" i="11"/>
  <c r="C29" i="11"/>
  <c r="C57" i="11"/>
  <c r="D57" i="11"/>
  <c r="H10" i="11"/>
  <c r="I10" i="11"/>
  <c r="H29" i="11"/>
  <c r="I29" i="11"/>
  <c r="K18" i="11"/>
  <c r="L18" i="11"/>
  <c r="K48" i="11"/>
  <c r="L48" i="11"/>
  <c r="K43" i="11"/>
  <c r="L43" i="11"/>
  <c r="K44" i="11"/>
  <c r="L44" i="11"/>
  <c r="K6" i="11"/>
  <c r="L6" i="11"/>
  <c r="H99" i="9"/>
  <c r="I99" i="9"/>
  <c r="L52" i="9"/>
  <c r="K8" i="9"/>
  <c r="H82" i="9"/>
  <c r="I82" i="9"/>
  <c r="G57" i="11"/>
  <c r="K58" i="11"/>
  <c r="L58" i="11"/>
  <c r="H58" i="11"/>
  <c r="I58" i="11"/>
  <c r="H59" i="11"/>
  <c r="I59" i="11"/>
  <c r="I3" i="11"/>
  <c r="H6" i="11"/>
  <c r="I6" i="11"/>
  <c r="C10" i="11"/>
  <c r="C27" i="11"/>
  <c r="H11" i="11"/>
  <c r="I11" i="11"/>
  <c r="K33" i="11"/>
  <c r="L33" i="11"/>
  <c r="D10" i="11"/>
  <c r="D27" i="11"/>
  <c r="H18" i="11"/>
  <c r="I18" i="11"/>
  <c r="K29" i="11"/>
  <c r="L29" i="11"/>
  <c r="K3" i="11"/>
  <c r="L3" i="11"/>
  <c r="K11" i="11"/>
  <c r="L11" i="11"/>
  <c r="H3" i="9"/>
  <c r="I3" i="9"/>
  <c r="C3" i="9"/>
  <c r="H6" i="9"/>
  <c r="I6" i="9"/>
  <c r="C21" i="9"/>
  <c r="D22" i="9"/>
  <c r="D21" i="9"/>
  <c r="D3" i="9"/>
  <c r="K3" i="9"/>
  <c r="L3" i="9"/>
  <c r="I93" i="9"/>
  <c r="H88" i="9"/>
  <c r="I88" i="9"/>
  <c r="H8" i="9"/>
  <c r="I8" i="9"/>
  <c r="H19" i="9"/>
  <c r="I19" i="9"/>
  <c r="C55" i="11"/>
  <c r="D55" i="11"/>
  <c r="H27" i="11"/>
  <c r="I27" i="11"/>
  <c r="K10" i="11"/>
  <c r="L10" i="11"/>
  <c r="H55" i="11"/>
  <c r="I55" i="11"/>
  <c r="K59" i="11"/>
  <c r="L59" i="11"/>
  <c r="K57" i="11"/>
  <c r="L57" i="11"/>
  <c r="H57" i="11"/>
  <c r="I57" i="11"/>
  <c r="F105" i="9"/>
  <c r="C105" i="9"/>
  <c r="D105" i="9"/>
  <c r="H23" i="9"/>
  <c r="I23" i="9"/>
  <c r="G22" i="9"/>
  <c r="K23" i="9"/>
  <c r="H12" i="9"/>
  <c r="I12" i="9"/>
  <c r="K12" i="9"/>
  <c r="L12" i="9"/>
  <c r="K27" i="11"/>
  <c r="L27" i="11"/>
  <c r="K55" i="11"/>
  <c r="L55" i="11"/>
  <c r="G21" i="9"/>
  <c r="H22" i="9"/>
  <c r="I22" i="9"/>
  <c r="K22" i="9"/>
  <c r="L22" i="9"/>
  <c r="G105" i="9"/>
  <c r="H21" i="9"/>
  <c r="I21" i="9"/>
  <c r="K21" i="9"/>
  <c r="L21" i="9"/>
  <c r="K105" i="9"/>
  <c r="L105" i="9"/>
  <c r="H105" i="9"/>
  <c r="I105" i="9"/>
  <c r="K86" i="10"/>
  <c r="L192" i="2"/>
  <c r="M192" i="2"/>
  <c r="I192" i="2"/>
  <c r="J192" i="2"/>
  <c r="L190" i="2"/>
  <c r="M190" i="2"/>
  <c r="I190" i="2"/>
  <c r="J190" i="2"/>
  <c r="L189" i="2"/>
  <c r="M189" i="2"/>
  <c r="I189" i="2"/>
  <c r="J189" i="2"/>
  <c r="L188" i="2"/>
  <c r="M188" i="2"/>
  <c r="I188" i="2"/>
  <c r="J188" i="2"/>
  <c r="L187" i="2"/>
  <c r="M187" i="2"/>
  <c r="I187" i="2"/>
  <c r="J187" i="2"/>
  <c r="L186" i="2"/>
  <c r="M186" i="2"/>
  <c r="I186" i="2"/>
  <c r="J186" i="2"/>
  <c r="L185" i="2"/>
  <c r="M185" i="2"/>
  <c r="I185" i="2"/>
  <c r="J185" i="2"/>
  <c r="L184" i="2"/>
  <c r="M184" i="2"/>
  <c r="I184" i="2"/>
  <c r="J184" i="2"/>
  <c r="I183" i="2"/>
  <c r="J183" i="2"/>
  <c r="C183" i="2"/>
  <c r="L181" i="2"/>
  <c r="M181" i="2"/>
  <c r="I181" i="2"/>
  <c r="J181" i="2"/>
  <c r="L180" i="2"/>
  <c r="M180" i="2"/>
  <c r="I180" i="2"/>
  <c r="J180" i="2"/>
  <c r="L179" i="2"/>
  <c r="M179" i="2"/>
  <c r="I179" i="2"/>
  <c r="J179" i="2"/>
  <c r="L178" i="2"/>
  <c r="M178" i="2"/>
  <c r="I178" i="2"/>
  <c r="J178" i="2"/>
  <c r="L177" i="2"/>
  <c r="M177" i="2"/>
  <c r="I177" i="2"/>
  <c r="J177" i="2"/>
  <c r="L176" i="2"/>
  <c r="M176" i="2"/>
  <c r="I176" i="2"/>
  <c r="J176" i="2"/>
  <c r="L175" i="2"/>
  <c r="M175" i="2"/>
  <c r="I175" i="2"/>
  <c r="J175" i="2"/>
  <c r="L174" i="2"/>
  <c r="M174" i="2"/>
  <c r="I174" i="2"/>
  <c r="J174" i="2"/>
  <c r="C173" i="2"/>
  <c r="L171" i="2"/>
  <c r="M171" i="2"/>
  <c r="I171" i="2"/>
  <c r="J171" i="2"/>
  <c r="L170" i="2"/>
  <c r="M170" i="2"/>
  <c r="I170" i="2"/>
  <c r="J170" i="2"/>
  <c r="L169" i="2"/>
  <c r="M169" i="2"/>
  <c r="I169" i="2"/>
  <c r="J169" i="2"/>
  <c r="L168" i="2"/>
  <c r="M168" i="2"/>
  <c r="I168" i="2"/>
  <c r="J168" i="2"/>
  <c r="L167" i="2"/>
  <c r="M167" i="2"/>
  <c r="I167" i="2"/>
  <c r="J167" i="2"/>
  <c r="L166" i="2"/>
  <c r="M166" i="2"/>
  <c r="I166" i="2"/>
  <c r="J166" i="2"/>
  <c r="C165" i="2"/>
  <c r="L162" i="2"/>
  <c r="M162" i="2"/>
  <c r="I162" i="2"/>
  <c r="J162" i="2"/>
  <c r="L161" i="2"/>
  <c r="M161" i="2"/>
  <c r="I161" i="2"/>
  <c r="J161" i="2"/>
  <c r="L160" i="2"/>
  <c r="M160" i="2"/>
  <c r="I160" i="2"/>
  <c r="J160" i="2"/>
  <c r="L159" i="2"/>
  <c r="M159" i="2"/>
  <c r="I159" i="2"/>
  <c r="J159" i="2"/>
  <c r="L158" i="2"/>
  <c r="M158" i="2"/>
  <c r="I158" i="2"/>
  <c r="J158" i="2"/>
  <c r="L157" i="2"/>
  <c r="M157" i="2"/>
  <c r="I157" i="2"/>
  <c r="J157" i="2"/>
  <c r="L156" i="2"/>
  <c r="M156" i="2"/>
  <c r="I156" i="2"/>
  <c r="J156" i="2"/>
  <c r="L155" i="2"/>
  <c r="M155" i="2"/>
  <c r="I155" i="2"/>
  <c r="J155" i="2"/>
  <c r="L154" i="2"/>
  <c r="M154" i="2"/>
  <c r="I154" i="2"/>
  <c r="J154" i="2"/>
  <c r="L153" i="2"/>
  <c r="M153" i="2"/>
  <c r="I153" i="2"/>
  <c r="J153" i="2"/>
  <c r="L152" i="2"/>
  <c r="M152" i="2"/>
  <c r="I152" i="2"/>
  <c r="J152" i="2"/>
  <c r="L151" i="2"/>
  <c r="M151" i="2"/>
  <c r="I151" i="2"/>
  <c r="J151" i="2"/>
  <c r="L150" i="2"/>
  <c r="M150" i="2"/>
  <c r="I150" i="2"/>
  <c r="J150" i="2"/>
  <c r="L149" i="2"/>
  <c r="M149" i="2"/>
  <c r="I149" i="2"/>
  <c r="J149" i="2"/>
  <c r="L148" i="2"/>
  <c r="M148" i="2"/>
  <c r="I148" i="2"/>
  <c r="J148" i="2"/>
  <c r="L147" i="2"/>
  <c r="M147" i="2"/>
  <c r="I147" i="2"/>
  <c r="J147" i="2"/>
  <c r="L146" i="2"/>
  <c r="M146" i="2"/>
  <c r="I146" i="2"/>
  <c r="J146" i="2"/>
  <c r="L145" i="2"/>
  <c r="M145" i="2"/>
  <c r="I145" i="2"/>
  <c r="J145" i="2"/>
  <c r="L144" i="2"/>
  <c r="M144" i="2"/>
  <c r="I144" i="2"/>
  <c r="J144" i="2"/>
  <c r="L143" i="2"/>
  <c r="M143" i="2"/>
  <c r="I143" i="2"/>
  <c r="J143" i="2"/>
  <c r="L141" i="2"/>
  <c r="M141" i="2"/>
  <c r="I141" i="2"/>
  <c r="J141" i="2"/>
  <c r="C140" i="2"/>
  <c r="C139" i="2"/>
  <c r="L138" i="2"/>
  <c r="M138" i="2"/>
  <c r="I138" i="2"/>
  <c r="J138" i="2"/>
  <c r="L137" i="2"/>
  <c r="M137" i="2"/>
  <c r="I137" i="2"/>
  <c r="J137" i="2"/>
  <c r="L136" i="2"/>
  <c r="M136" i="2"/>
  <c r="I136" i="2"/>
  <c r="J136" i="2"/>
  <c r="L135" i="2"/>
  <c r="M135" i="2"/>
  <c r="I135" i="2"/>
  <c r="J135" i="2"/>
  <c r="L134" i="2"/>
  <c r="M134" i="2"/>
  <c r="I134" i="2"/>
  <c r="J134" i="2"/>
  <c r="L133" i="2"/>
  <c r="M133" i="2"/>
  <c r="I133" i="2"/>
  <c r="J133" i="2"/>
  <c r="L132" i="2"/>
  <c r="M132" i="2"/>
  <c r="I132" i="2"/>
  <c r="J132" i="2"/>
  <c r="L131" i="2"/>
  <c r="M131" i="2"/>
  <c r="I131" i="2"/>
  <c r="J131" i="2"/>
  <c r="L130" i="2"/>
  <c r="M130" i="2"/>
  <c r="I130" i="2"/>
  <c r="J130" i="2"/>
  <c r="I129" i="2"/>
  <c r="J129" i="2"/>
  <c r="C129" i="2"/>
  <c r="L128" i="2"/>
  <c r="M128" i="2"/>
  <c r="I128" i="2"/>
  <c r="J128" i="2"/>
  <c r="L127" i="2"/>
  <c r="M127" i="2"/>
  <c r="I127" i="2"/>
  <c r="J127" i="2"/>
  <c r="L126" i="2"/>
  <c r="M126" i="2"/>
  <c r="I126" i="2"/>
  <c r="J126" i="2"/>
  <c r="L125" i="2"/>
  <c r="M125" i="2"/>
  <c r="I125" i="2"/>
  <c r="J125" i="2"/>
  <c r="I124" i="2"/>
  <c r="J124" i="2"/>
  <c r="C124" i="2"/>
  <c r="L123" i="2"/>
  <c r="M123" i="2"/>
  <c r="I123" i="2"/>
  <c r="J123" i="2"/>
  <c r="L122" i="2"/>
  <c r="M122" i="2"/>
  <c r="I122" i="2"/>
  <c r="J122" i="2"/>
  <c r="I121" i="2"/>
  <c r="J121" i="2"/>
  <c r="C121" i="2"/>
  <c r="L120" i="2"/>
  <c r="M120" i="2"/>
  <c r="I120" i="2"/>
  <c r="J120" i="2"/>
  <c r="L119" i="2"/>
  <c r="M119" i="2"/>
  <c r="I119" i="2"/>
  <c r="J119" i="2"/>
  <c r="L118" i="2"/>
  <c r="M118" i="2"/>
  <c r="I118" i="2"/>
  <c r="J118" i="2"/>
  <c r="L117" i="2"/>
  <c r="M117" i="2"/>
  <c r="I117" i="2"/>
  <c r="J117" i="2"/>
  <c r="L116" i="2"/>
  <c r="M116" i="2"/>
  <c r="I116" i="2"/>
  <c r="J116" i="2"/>
  <c r="I115" i="2"/>
  <c r="J115" i="2"/>
  <c r="C115" i="2"/>
  <c r="L113" i="2"/>
  <c r="M113" i="2"/>
  <c r="I113" i="2"/>
  <c r="J113" i="2"/>
  <c r="L112" i="2"/>
  <c r="M112" i="2"/>
  <c r="I112" i="2"/>
  <c r="J112" i="2"/>
  <c r="L111" i="2"/>
  <c r="M111" i="2"/>
  <c r="I111" i="2"/>
  <c r="J111" i="2"/>
  <c r="L110" i="2"/>
  <c r="M110" i="2"/>
  <c r="I110" i="2"/>
  <c r="J110" i="2"/>
  <c r="I109" i="2"/>
  <c r="J109" i="2"/>
  <c r="C109" i="2"/>
  <c r="L108" i="2"/>
  <c r="M108" i="2"/>
  <c r="I108" i="2"/>
  <c r="J108" i="2"/>
  <c r="L107" i="2"/>
  <c r="M107" i="2"/>
  <c r="I107" i="2"/>
  <c r="J107" i="2"/>
  <c r="L106" i="2"/>
  <c r="M106" i="2"/>
  <c r="I106" i="2"/>
  <c r="J106" i="2"/>
  <c r="L105" i="2"/>
  <c r="M105" i="2"/>
  <c r="I105" i="2"/>
  <c r="J105" i="2"/>
  <c r="I104" i="2"/>
  <c r="J104" i="2"/>
  <c r="C104" i="2"/>
  <c r="L102" i="2"/>
  <c r="M102" i="2"/>
  <c r="I102" i="2"/>
  <c r="J102" i="2"/>
  <c r="I101" i="2"/>
  <c r="J101" i="2"/>
  <c r="L100" i="2"/>
  <c r="M100" i="2"/>
  <c r="I100" i="2"/>
  <c r="J100" i="2"/>
  <c r="L99" i="2"/>
  <c r="M99" i="2"/>
  <c r="I99" i="2"/>
  <c r="J99" i="2"/>
  <c r="L98" i="2"/>
  <c r="M98" i="2"/>
  <c r="I98" i="2"/>
  <c r="J98" i="2"/>
  <c r="C97" i="2"/>
  <c r="I96" i="2"/>
  <c r="J96" i="2"/>
  <c r="L96" i="2"/>
  <c r="M96" i="2"/>
  <c r="I95" i="2"/>
  <c r="J95" i="2"/>
  <c r="L95" i="2"/>
  <c r="M95" i="2"/>
  <c r="L94" i="2"/>
  <c r="M94" i="2"/>
  <c r="I94" i="2"/>
  <c r="J94" i="2"/>
  <c r="L93" i="2"/>
  <c r="M93" i="2"/>
  <c r="I93" i="2"/>
  <c r="J93" i="2"/>
  <c r="L92" i="2"/>
  <c r="M92" i="2"/>
  <c r="I92" i="2"/>
  <c r="J92" i="2"/>
  <c r="I91" i="2"/>
  <c r="J91" i="2"/>
  <c r="C91" i="2"/>
  <c r="L90" i="2"/>
  <c r="M90" i="2"/>
  <c r="I90" i="2"/>
  <c r="J90" i="2"/>
  <c r="I89" i="2"/>
  <c r="J89" i="2"/>
  <c r="L89" i="2"/>
  <c r="M89" i="2"/>
  <c r="I88" i="2"/>
  <c r="J88" i="2"/>
  <c r="L88" i="2"/>
  <c r="M88" i="2"/>
  <c r="I87" i="2"/>
  <c r="J87" i="2"/>
  <c r="L87" i="2"/>
  <c r="M87" i="2"/>
  <c r="L86" i="2"/>
  <c r="M86" i="2"/>
  <c r="I86" i="2"/>
  <c r="J86" i="2"/>
  <c r="L85" i="2"/>
  <c r="M85" i="2"/>
  <c r="I85" i="2"/>
  <c r="J85" i="2"/>
  <c r="L84" i="2"/>
  <c r="M84" i="2"/>
  <c r="I84" i="2"/>
  <c r="J84" i="2"/>
  <c r="C83" i="2"/>
  <c r="L82" i="2"/>
  <c r="M82" i="2"/>
  <c r="I82" i="2"/>
  <c r="J82" i="2"/>
  <c r="L81" i="2"/>
  <c r="M81" i="2"/>
  <c r="I81" i="2"/>
  <c r="J81" i="2"/>
  <c r="I80" i="2"/>
  <c r="J80" i="2"/>
  <c r="L79" i="2"/>
  <c r="M79" i="2"/>
  <c r="I79" i="2"/>
  <c r="J79" i="2"/>
  <c r="L78" i="2"/>
  <c r="M78" i="2"/>
  <c r="I78" i="2"/>
  <c r="J78" i="2"/>
  <c r="L77" i="2"/>
  <c r="M77" i="2"/>
  <c r="I77" i="2"/>
  <c r="J77" i="2"/>
  <c r="L76" i="2"/>
  <c r="M76" i="2"/>
  <c r="I76" i="2"/>
  <c r="J76" i="2"/>
  <c r="C75" i="2"/>
  <c r="L74" i="2"/>
  <c r="M74" i="2"/>
  <c r="I74" i="2"/>
  <c r="J74" i="2"/>
  <c r="L73" i="2"/>
  <c r="M73" i="2"/>
  <c r="I73" i="2"/>
  <c r="J73" i="2"/>
  <c r="L72" i="2"/>
  <c r="M72" i="2"/>
  <c r="I72" i="2"/>
  <c r="J72" i="2"/>
  <c r="L71" i="2"/>
  <c r="M71" i="2"/>
  <c r="I71" i="2"/>
  <c r="J71" i="2"/>
  <c r="L70" i="2"/>
  <c r="M70" i="2"/>
  <c r="I70" i="2"/>
  <c r="J70" i="2"/>
  <c r="C69" i="2"/>
  <c r="L68" i="2"/>
  <c r="M68" i="2"/>
  <c r="L66" i="2"/>
  <c r="M66" i="2"/>
  <c r="I66" i="2"/>
  <c r="J66" i="2"/>
  <c r="L65" i="2"/>
  <c r="M65" i="2"/>
  <c r="I65" i="2"/>
  <c r="J65" i="2"/>
  <c r="I64" i="2"/>
  <c r="J64" i="2"/>
  <c r="C64" i="2"/>
  <c r="L63" i="2"/>
  <c r="M63" i="2"/>
  <c r="I63" i="2"/>
  <c r="J63" i="2"/>
  <c r="L62" i="2"/>
  <c r="M62" i="2"/>
  <c r="I62" i="2"/>
  <c r="J62" i="2"/>
  <c r="I61" i="2"/>
  <c r="J61" i="2"/>
  <c r="C61" i="2"/>
  <c r="L58" i="2"/>
  <c r="M58" i="2"/>
  <c r="I58" i="2"/>
  <c r="J58" i="2"/>
  <c r="L57" i="2"/>
  <c r="M57" i="2"/>
  <c r="I57" i="2"/>
  <c r="J57" i="2"/>
  <c r="L56" i="2"/>
  <c r="M56" i="2"/>
  <c r="I56" i="2"/>
  <c r="J56" i="2"/>
  <c r="L55" i="2"/>
  <c r="M55" i="2"/>
  <c r="I55" i="2"/>
  <c r="J55" i="2"/>
  <c r="L54" i="2"/>
  <c r="M54" i="2"/>
  <c r="I54" i="2"/>
  <c r="J54" i="2"/>
  <c r="L52" i="2"/>
  <c r="M52" i="2"/>
  <c r="I52" i="2"/>
  <c r="J52" i="2"/>
  <c r="L50" i="2"/>
  <c r="M50" i="2"/>
  <c r="I50" i="2"/>
  <c r="J50" i="2"/>
  <c r="L49" i="2"/>
  <c r="M49" i="2"/>
  <c r="I49" i="2"/>
  <c r="J49" i="2"/>
  <c r="L48" i="2"/>
  <c r="M48" i="2"/>
  <c r="I48" i="2"/>
  <c r="J48" i="2"/>
  <c r="L47" i="2"/>
  <c r="M47" i="2"/>
  <c r="I47" i="2"/>
  <c r="J47" i="2"/>
  <c r="L46" i="2"/>
  <c r="M46" i="2"/>
  <c r="I46" i="2"/>
  <c r="J46" i="2"/>
  <c r="L45" i="2"/>
  <c r="M45" i="2"/>
  <c r="I45" i="2"/>
  <c r="J45" i="2"/>
  <c r="L44" i="2"/>
  <c r="M44" i="2"/>
  <c r="I44" i="2"/>
  <c r="J44" i="2"/>
  <c r="L43" i="2"/>
  <c r="M43" i="2"/>
  <c r="I43" i="2"/>
  <c r="J43" i="2"/>
  <c r="L42" i="2"/>
  <c r="M42" i="2"/>
  <c r="I42" i="2"/>
  <c r="J42" i="2"/>
  <c r="L41" i="2"/>
  <c r="M41" i="2"/>
  <c r="I41" i="2"/>
  <c r="J41" i="2"/>
  <c r="L39" i="2"/>
  <c r="M39" i="2"/>
  <c r="I39" i="2"/>
  <c r="J39" i="2"/>
  <c r="L38" i="2"/>
  <c r="M38" i="2"/>
  <c r="I38" i="2"/>
  <c r="J38" i="2"/>
  <c r="I37" i="2"/>
  <c r="J37" i="2"/>
  <c r="L37" i="2"/>
  <c r="M37" i="2"/>
  <c r="I33" i="2"/>
  <c r="J33" i="2"/>
  <c r="L33" i="2"/>
  <c r="M33" i="2"/>
  <c r="L32" i="2"/>
  <c r="M32" i="2"/>
  <c r="I32" i="2"/>
  <c r="J32" i="2"/>
  <c r="L31" i="2"/>
  <c r="M31" i="2"/>
  <c r="I31" i="2"/>
  <c r="J31" i="2"/>
  <c r="L30" i="2"/>
  <c r="M30" i="2"/>
  <c r="I30" i="2"/>
  <c r="J30" i="2"/>
  <c r="L29" i="2"/>
  <c r="M29" i="2"/>
  <c r="I29" i="2"/>
  <c r="J29" i="2"/>
  <c r="I28" i="2"/>
  <c r="J28" i="2"/>
  <c r="L28" i="2"/>
  <c r="M28" i="2"/>
  <c r="L27" i="2"/>
  <c r="M27" i="2"/>
  <c r="I27" i="2"/>
  <c r="J27" i="2"/>
  <c r="I26" i="2"/>
  <c r="J26" i="2"/>
  <c r="I25" i="2"/>
  <c r="J25" i="2"/>
  <c r="C25" i="2"/>
  <c r="L24" i="2"/>
  <c r="M24" i="2"/>
  <c r="I24" i="2"/>
  <c r="J24" i="2"/>
  <c r="L23" i="2"/>
  <c r="M23" i="2"/>
  <c r="I23" i="2"/>
  <c r="J23" i="2"/>
  <c r="L22" i="2"/>
  <c r="M22" i="2"/>
  <c r="I22" i="2"/>
  <c r="J22" i="2"/>
  <c r="L21" i="2"/>
  <c r="M21" i="2"/>
  <c r="I21" i="2"/>
  <c r="J21" i="2"/>
  <c r="L20" i="2"/>
  <c r="M20" i="2"/>
  <c r="I20" i="2"/>
  <c r="J20" i="2"/>
  <c r="L19" i="2"/>
  <c r="M19" i="2"/>
  <c r="I19" i="2"/>
  <c r="J19" i="2"/>
  <c r="L18" i="2"/>
  <c r="M18" i="2"/>
  <c r="I18" i="2"/>
  <c r="J18" i="2"/>
  <c r="L17" i="2"/>
  <c r="M17" i="2"/>
  <c r="I17" i="2"/>
  <c r="J17" i="2"/>
  <c r="I16" i="2"/>
  <c r="J16" i="2"/>
  <c r="C16" i="2"/>
  <c r="L15" i="2"/>
  <c r="M15" i="2"/>
  <c r="I15" i="2"/>
  <c r="J15" i="2"/>
  <c r="I14" i="2"/>
  <c r="J14" i="2"/>
  <c r="L14" i="2"/>
  <c r="M14" i="2"/>
  <c r="I13" i="2"/>
  <c r="J13" i="2"/>
  <c r="C13" i="2"/>
  <c r="L12" i="2"/>
  <c r="M12" i="2"/>
  <c r="I12" i="2"/>
  <c r="J12" i="2"/>
  <c r="L11" i="2"/>
  <c r="M11" i="2"/>
  <c r="I11" i="2"/>
  <c r="J11" i="2"/>
  <c r="L10" i="2"/>
  <c r="M10" i="2"/>
  <c r="I10" i="2"/>
  <c r="J10" i="2"/>
  <c r="L9" i="2"/>
  <c r="M9" i="2"/>
  <c r="I9" i="2"/>
  <c r="J9" i="2"/>
  <c r="L8" i="2"/>
  <c r="M8" i="2"/>
  <c r="I8" i="2"/>
  <c r="J8" i="2"/>
  <c r="L7" i="2"/>
  <c r="M7" i="2"/>
  <c r="I7" i="2"/>
  <c r="J7" i="2"/>
  <c r="L6" i="2"/>
  <c r="M6" i="2"/>
  <c r="J6" i="2"/>
  <c r="I5" i="2"/>
  <c r="J5" i="2"/>
  <c r="K140" i="5"/>
  <c r="L140" i="5"/>
  <c r="H140" i="5"/>
  <c r="I140" i="5"/>
  <c r="K139" i="5"/>
  <c r="L139" i="5"/>
  <c r="H139" i="5"/>
  <c r="I139" i="5"/>
  <c r="K138" i="5"/>
  <c r="L138" i="5"/>
  <c r="C138" i="5"/>
  <c r="K137" i="5"/>
  <c r="L137" i="5"/>
  <c r="H137" i="5"/>
  <c r="I137" i="5"/>
  <c r="K136" i="5"/>
  <c r="L136" i="5"/>
  <c r="H136" i="5"/>
  <c r="I136" i="5"/>
  <c r="H135" i="5"/>
  <c r="I135" i="5"/>
  <c r="K135" i="5"/>
  <c r="L135" i="5"/>
  <c r="K134" i="5"/>
  <c r="L134" i="5"/>
  <c r="H134" i="5"/>
  <c r="I134" i="5"/>
  <c r="K132" i="5"/>
  <c r="L132" i="5"/>
  <c r="H132" i="5"/>
  <c r="I132" i="5"/>
  <c r="K131" i="5"/>
  <c r="L131" i="5"/>
  <c r="H131" i="5"/>
  <c r="I131" i="5"/>
  <c r="K129" i="5"/>
  <c r="L129" i="5"/>
  <c r="H129" i="5"/>
  <c r="I129" i="5"/>
  <c r="K128" i="5"/>
  <c r="L128" i="5"/>
  <c r="H128" i="5"/>
  <c r="I128" i="5"/>
  <c r="K127" i="5"/>
  <c r="L127" i="5"/>
  <c r="H127" i="5"/>
  <c r="I127" i="5"/>
  <c r="G126" i="5"/>
  <c r="D126" i="5"/>
  <c r="C126" i="5"/>
  <c r="K125" i="5"/>
  <c r="L125" i="5"/>
  <c r="H125" i="5"/>
  <c r="I125" i="5"/>
  <c r="K124" i="5"/>
  <c r="L124" i="5"/>
  <c r="H124" i="5"/>
  <c r="I124" i="5"/>
  <c r="D123" i="5"/>
  <c r="C123" i="5"/>
  <c r="K122" i="5"/>
  <c r="L122" i="5"/>
  <c r="H122" i="5"/>
  <c r="I122" i="5"/>
  <c r="L121" i="5"/>
  <c r="H121" i="5"/>
  <c r="I121" i="5"/>
  <c r="D120" i="5"/>
  <c r="C120" i="5"/>
  <c r="K119" i="5"/>
  <c r="L119" i="5"/>
  <c r="H119" i="5"/>
  <c r="I119" i="5"/>
  <c r="K118" i="5"/>
  <c r="L118" i="5"/>
  <c r="H118" i="5"/>
  <c r="I118" i="5"/>
  <c r="D117" i="5"/>
  <c r="C117" i="5"/>
  <c r="K116" i="5"/>
  <c r="L116" i="5"/>
  <c r="H116" i="5"/>
  <c r="I116" i="5"/>
  <c r="K115" i="5"/>
  <c r="L115" i="5"/>
  <c r="H115" i="5"/>
  <c r="I115" i="5"/>
  <c r="K113" i="5"/>
  <c r="L113" i="5"/>
  <c r="H113" i="5"/>
  <c r="I113" i="5"/>
  <c r="K112" i="5"/>
  <c r="L112" i="5"/>
  <c r="I112" i="5"/>
  <c r="D111" i="5"/>
  <c r="C111" i="5"/>
  <c r="K109" i="5"/>
  <c r="L109" i="5"/>
  <c r="H109" i="5"/>
  <c r="I109" i="5"/>
  <c r="K108" i="5"/>
  <c r="L108" i="5"/>
  <c r="H108" i="5"/>
  <c r="I108" i="5"/>
  <c r="L106" i="5"/>
  <c r="I106" i="5"/>
  <c r="K104" i="5"/>
  <c r="L104" i="5"/>
  <c r="H104" i="5"/>
  <c r="I104" i="5"/>
  <c r="K103" i="5"/>
  <c r="L103" i="5"/>
  <c r="H103" i="5"/>
  <c r="I103" i="5"/>
  <c r="K102" i="5"/>
  <c r="L102" i="5"/>
  <c r="H102" i="5"/>
  <c r="I102" i="5"/>
  <c r="D101" i="5"/>
  <c r="C101" i="5"/>
  <c r="K100" i="5"/>
  <c r="L100" i="5"/>
  <c r="H100" i="5"/>
  <c r="I100" i="5"/>
  <c r="K99" i="5"/>
  <c r="L99" i="5"/>
  <c r="H99" i="5"/>
  <c r="I99" i="5"/>
  <c r="G98" i="5"/>
  <c r="D98" i="5"/>
  <c r="C98" i="5"/>
  <c r="K97" i="5"/>
  <c r="L97" i="5"/>
  <c r="H97" i="5"/>
  <c r="I97" i="5"/>
  <c r="K96" i="5"/>
  <c r="L96" i="5"/>
  <c r="H96" i="5"/>
  <c r="I96" i="5"/>
  <c r="G95" i="5"/>
  <c r="D95" i="5"/>
  <c r="C95" i="5"/>
  <c r="K94" i="5"/>
  <c r="L94" i="5"/>
  <c r="H94" i="5"/>
  <c r="I94" i="5"/>
  <c r="K93" i="5"/>
  <c r="L93" i="5"/>
  <c r="H93" i="5"/>
  <c r="I93" i="5"/>
  <c r="G92" i="5"/>
  <c r="D92" i="5"/>
  <c r="C92" i="5"/>
  <c r="K91" i="5"/>
  <c r="L91" i="5"/>
  <c r="H91" i="5"/>
  <c r="I91" i="5"/>
  <c r="K90" i="5"/>
  <c r="L90" i="5"/>
  <c r="H90" i="5"/>
  <c r="I90" i="5"/>
  <c r="G89" i="5"/>
  <c r="D89" i="5"/>
  <c r="C89" i="5"/>
  <c r="K87" i="5"/>
  <c r="L87" i="5"/>
  <c r="H87" i="5"/>
  <c r="I87" i="5"/>
  <c r="K86" i="5"/>
  <c r="L86" i="5"/>
  <c r="H86" i="5"/>
  <c r="I86" i="5"/>
  <c r="H85" i="5"/>
  <c r="I85" i="5"/>
  <c r="K85" i="5"/>
  <c r="L85" i="5"/>
  <c r="D85" i="5"/>
  <c r="K84" i="5"/>
  <c r="L84" i="5"/>
  <c r="H84" i="5"/>
  <c r="I84" i="5"/>
  <c r="K83" i="5"/>
  <c r="L83" i="5"/>
  <c r="H83" i="5"/>
  <c r="I83" i="5"/>
  <c r="G82" i="5"/>
  <c r="D82" i="5"/>
  <c r="C82" i="5"/>
  <c r="K81" i="5"/>
  <c r="L81" i="5"/>
  <c r="H81" i="5"/>
  <c r="I81" i="5"/>
  <c r="K80" i="5"/>
  <c r="L80" i="5"/>
  <c r="H80" i="5"/>
  <c r="I80" i="5"/>
  <c r="G79" i="5"/>
  <c r="D79" i="5"/>
  <c r="C79" i="5"/>
  <c r="K78" i="5"/>
  <c r="L78" i="5"/>
  <c r="H78" i="5"/>
  <c r="I78" i="5"/>
  <c r="K77" i="5"/>
  <c r="L77" i="5"/>
  <c r="H77" i="5"/>
  <c r="I77" i="5"/>
  <c r="G76" i="5"/>
  <c r="D76" i="5"/>
  <c r="C76" i="5"/>
  <c r="K75" i="5"/>
  <c r="L75" i="5"/>
  <c r="H75" i="5"/>
  <c r="I75" i="5"/>
  <c r="K74" i="5"/>
  <c r="L74" i="5"/>
  <c r="H74" i="5"/>
  <c r="I74" i="5"/>
  <c r="G73" i="5"/>
  <c r="D73" i="5"/>
  <c r="C73" i="5"/>
  <c r="K71" i="5"/>
  <c r="L71" i="5"/>
  <c r="H71" i="5"/>
  <c r="I71" i="5"/>
  <c r="K70" i="5"/>
  <c r="L70" i="5"/>
  <c r="H70" i="5"/>
  <c r="I70" i="5"/>
  <c r="D69" i="5"/>
  <c r="C69" i="5"/>
  <c r="K68" i="5"/>
  <c r="L68" i="5"/>
  <c r="H68" i="5"/>
  <c r="I68" i="5"/>
  <c r="K67" i="5"/>
  <c r="L67" i="5"/>
  <c r="H67" i="5"/>
  <c r="I67" i="5"/>
  <c r="G66" i="5"/>
  <c r="D66" i="5"/>
  <c r="C66" i="5"/>
  <c r="K65" i="5"/>
  <c r="L65" i="5"/>
  <c r="H65" i="5"/>
  <c r="I65" i="5"/>
  <c r="K64" i="5"/>
  <c r="L64" i="5"/>
  <c r="I64" i="5"/>
  <c r="G63" i="5"/>
  <c r="D63" i="5"/>
  <c r="C63" i="5"/>
  <c r="K62" i="5"/>
  <c r="L62" i="5"/>
  <c r="H62" i="5"/>
  <c r="I62" i="5"/>
  <c r="K61" i="5"/>
  <c r="L61" i="5"/>
  <c r="H61" i="5"/>
  <c r="I61" i="5"/>
  <c r="G60" i="5"/>
  <c r="D60" i="5"/>
  <c r="C60" i="5"/>
  <c r="K59" i="5"/>
  <c r="L59" i="5"/>
  <c r="H59" i="5"/>
  <c r="I59" i="5"/>
  <c r="K58" i="5"/>
  <c r="L58" i="5"/>
  <c r="H58" i="5"/>
  <c r="I58" i="5"/>
  <c r="G57" i="5"/>
  <c r="D57" i="5"/>
  <c r="C57" i="5"/>
  <c r="K54" i="5"/>
  <c r="L54" i="5"/>
  <c r="H54" i="5"/>
  <c r="I54" i="5"/>
  <c r="K52" i="5"/>
  <c r="L52" i="5"/>
  <c r="H52" i="5"/>
  <c r="I52" i="5"/>
  <c r="K51" i="5"/>
  <c r="L51" i="5"/>
  <c r="H51" i="5"/>
  <c r="I51" i="5"/>
  <c r="K50" i="5"/>
  <c r="L50" i="5"/>
  <c r="H50" i="5"/>
  <c r="I50" i="5"/>
  <c r="K49" i="5"/>
  <c r="L49" i="5"/>
  <c r="H49" i="5"/>
  <c r="I49" i="5"/>
  <c r="K48" i="5"/>
  <c r="L48" i="5"/>
  <c r="H48" i="5"/>
  <c r="I48" i="5"/>
  <c r="G47" i="5"/>
  <c r="K47" i="5"/>
  <c r="L47" i="5"/>
  <c r="D47" i="5"/>
  <c r="C47" i="5"/>
  <c r="K46" i="5"/>
  <c r="L46" i="5"/>
  <c r="I46" i="5"/>
  <c r="K44" i="5"/>
  <c r="L44" i="5"/>
  <c r="H44" i="5"/>
  <c r="I44" i="5"/>
  <c r="C44" i="5"/>
  <c r="K43" i="5"/>
  <c r="L43" i="5"/>
  <c r="H43" i="5"/>
  <c r="I43" i="5"/>
  <c r="D42" i="5"/>
  <c r="C42" i="5"/>
  <c r="K41" i="5"/>
  <c r="L41" i="5"/>
  <c r="D41" i="5"/>
  <c r="H40" i="5"/>
  <c r="I40" i="5"/>
  <c r="K40" i="5"/>
  <c r="L40" i="5"/>
  <c r="D40" i="5"/>
  <c r="D35" i="5"/>
  <c r="D34" i="5"/>
  <c r="C40" i="5"/>
  <c r="C35" i="5"/>
  <c r="H39" i="5"/>
  <c r="I39" i="5"/>
  <c r="K39" i="5"/>
  <c r="L39" i="5"/>
  <c r="C39" i="5"/>
  <c r="K38" i="5"/>
  <c r="L38" i="5"/>
  <c r="H38" i="5"/>
  <c r="I38" i="5"/>
  <c r="K37" i="5"/>
  <c r="L37" i="5"/>
  <c r="H37" i="5"/>
  <c r="I37" i="5"/>
  <c r="K36" i="5"/>
  <c r="L36" i="5"/>
  <c r="H36" i="5"/>
  <c r="I36" i="5"/>
  <c r="K33" i="5"/>
  <c r="L33" i="5"/>
  <c r="H33" i="5"/>
  <c r="I33" i="5"/>
  <c r="C33" i="5"/>
  <c r="K32" i="5"/>
  <c r="L32" i="5"/>
  <c r="H32" i="5"/>
  <c r="I32" i="5"/>
  <c r="C32" i="5"/>
  <c r="K31" i="5"/>
  <c r="L31" i="5"/>
  <c r="H31" i="5"/>
  <c r="I31" i="5"/>
  <c r="C31" i="5"/>
  <c r="H30" i="5"/>
  <c r="I30" i="5"/>
  <c r="K30" i="5"/>
  <c r="L30" i="5"/>
  <c r="C30" i="5"/>
  <c r="K29" i="5"/>
  <c r="L29" i="5"/>
  <c r="H29" i="5"/>
  <c r="I29" i="5"/>
  <c r="K28" i="5"/>
  <c r="L28" i="5"/>
  <c r="H28" i="5"/>
  <c r="I28" i="5"/>
  <c r="C28" i="5"/>
  <c r="D27" i="5"/>
  <c r="C27" i="5"/>
  <c r="K26" i="5"/>
  <c r="L26" i="5"/>
  <c r="H26" i="5"/>
  <c r="I26" i="5"/>
  <c r="K25" i="5"/>
  <c r="L25" i="5"/>
  <c r="H25" i="5"/>
  <c r="I25" i="5"/>
  <c r="G24" i="5"/>
  <c r="K24" i="5"/>
  <c r="L24" i="5"/>
  <c r="D24" i="5"/>
  <c r="C24" i="5"/>
  <c r="K23" i="5"/>
  <c r="L23" i="5"/>
  <c r="H23" i="5"/>
  <c r="I23" i="5"/>
  <c r="K22" i="5"/>
  <c r="L22" i="5"/>
  <c r="H22" i="5"/>
  <c r="I22" i="5"/>
  <c r="K21" i="5"/>
  <c r="L21" i="5"/>
  <c r="H21" i="5"/>
  <c r="I21" i="5"/>
  <c r="K20" i="5"/>
  <c r="L20" i="5"/>
  <c r="H20" i="5"/>
  <c r="I20" i="5"/>
  <c r="K19" i="5"/>
  <c r="L19" i="5"/>
  <c r="H19" i="5"/>
  <c r="I19" i="5"/>
  <c r="G18" i="5"/>
  <c r="K18" i="5"/>
  <c r="L18" i="5"/>
  <c r="D18" i="5"/>
  <c r="C18" i="5"/>
  <c r="K17" i="5"/>
  <c r="L17" i="5"/>
  <c r="H17" i="5"/>
  <c r="I17" i="5"/>
  <c r="K16" i="5"/>
  <c r="L16" i="5"/>
  <c r="H16" i="5"/>
  <c r="I16" i="5"/>
  <c r="C16" i="5"/>
  <c r="C15" i="5"/>
  <c r="G15" i="5"/>
  <c r="H15" i="5"/>
  <c r="I15" i="5"/>
  <c r="D15" i="5"/>
  <c r="K14" i="5"/>
  <c r="L14" i="5"/>
  <c r="H14" i="5"/>
  <c r="I14" i="5"/>
  <c r="K13" i="5"/>
  <c r="L13" i="5"/>
  <c r="H13" i="5"/>
  <c r="I13" i="5"/>
  <c r="G12" i="5"/>
  <c r="D12" i="5"/>
  <c r="C12" i="5"/>
  <c r="K11" i="5"/>
  <c r="L11" i="5"/>
  <c r="H11" i="5"/>
  <c r="I11" i="5"/>
  <c r="K10" i="5"/>
  <c r="L10" i="5"/>
  <c r="H10" i="5"/>
  <c r="I10" i="5"/>
  <c r="C10" i="5"/>
  <c r="C7" i="5"/>
  <c r="K9" i="5"/>
  <c r="L9" i="5"/>
  <c r="H9" i="5"/>
  <c r="I9" i="5"/>
  <c r="C9" i="5"/>
  <c r="K8" i="5"/>
  <c r="L8" i="5"/>
  <c r="H8" i="5"/>
  <c r="I8" i="5"/>
  <c r="D7" i="5"/>
  <c r="G3" i="5"/>
  <c r="H3" i="5"/>
  <c r="I3" i="5"/>
  <c r="E3" i="5"/>
  <c r="E133" i="5"/>
  <c r="G88" i="5"/>
  <c r="C34" i="5"/>
  <c r="H12" i="5"/>
  <c r="I12" i="5"/>
  <c r="G6" i="5"/>
  <c r="G5" i="5"/>
  <c r="D110" i="5"/>
  <c r="D107" i="5"/>
  <c r="D130" i="5"/>
  <c r="I53" i="2"/>
  <c r="J53" i="2"/>
  <c r="I51" i="2"/>
  <c r="J51" i="2"/>
  <c r="C60" i="2"/>
  <c r="L61" i="2"/>
  <c r="M61" i="2"/>
  <c r="C67" i="2"/>
  <c r="C114" i="2"/>
  <c r="C103" i="2"/>
  <c r="C6" i="5"/>
  <c r="C5" i="5"/>
  <c r="H18" i="5"/>
  <c r="I18" i="5"/>
  <c r="H24" i="5"/>
  <c r="I24" i="5"/>
  <c r="K12" i="5"/>
  <c r="L12" i="5"/>
  <c r="D6" i="5"/>
  <c r="D5" i="5"/>
  <c r="D45" i="5"/>
  <c r="L124" i="2"/>
  <c r="M124" i="2"/>
  <c r="L109" i="2"/>
  <c r="M109" i="2"/>
  <c r="L64" i="2"/>
  <c r="M64" i="2"/>
  <c r="I60" i="2"/>
  <c r="J60" i="2"/>
  <c r="L53" i="2"/>
  <c r="M53" i="2"/>
  <c r="C4" i="2"/>
  <c r="I40" i="2"/>
  <c r="J40" i="2"/>
  <c r="L165" i="2"/>
  <c r="M165" i="2"/>
  <c r="L183" i="2"/>
  <c r="M183" i="2"/>
  <c r="L173" i="2"/>
  <c r="M173" i="2"/>
  <c r="L129" i="2"/>
  <c r="M129" i="2"/>
  <c r="L121" i="2"/>
  <c r="M121" i="2"/>
  <c r="L115" i="2"/>
  <c r="M115" i="2"/>
  <c r="L104" i="2"/>
  <c r="M104" i="2"/>
  <c r="L83" i="2"/>
  <c r="M83" i="2"/>
  <c r="L5" i="2"/>
  <c r="M5" i="2"/>
  <c r="L97" i="2"/>
  <c r="M97" i="2"/>
  <c r="L69" i="2"/>
  <c r="M69" i="2"/>
  <c r="L16" i="2"/>
  <c r="M16" i="2"/>
  <c r="H42" i="5"/>
  <c r="I42" i="5"/>
  <c r="H7" i="5"/>
  <c r="I7" i="5"/>
  <c r="K15" i="5"/>
  <c r="L15" i="5"/>
  <c r="H126" i="5"/>
  <c r="I126" i="5"/>
  <c r="C110" i="5"/>
  <c r="L13" i="2"/>
  <c r="M13" i="2"/>
  <c r="L26" i="2"/>
  <c r="M26" i="2"/>
  <c r="L25" i="2"/>
  <c r="M25" i="2"/>
  <c r="L40" i="2"/>
  <c r="M40" i="2"/>
  <c r="I142" i="2"/>
  <c r="J142" i="2"/>
  <c r="I97" i="2"/>
  <c r="J97" i="2"/>
  <c r="H76" i="5"/>
  <c r="I76" i="5"/>
  <c r="H89" i="5"/>
  <c r="I89" i="5"/>
  <c r="H98" i="5"/>
  <c r="I98" i="5"/>
  <c r="H111" i="5"/>
  <c r="I111" i="5"/>
  <c r="L80" i="2"/>
  <c r="M80" i="2"/>
  <c r="I83" i="2"/>
  <c r="J83" i="2"/>
  <c r="I165" i="2"/>
  <c r="J165" i="2"/>
  <c r="I173" i="2"/>
  <c r="J173" i="2"/>
  <c r="I68" i="2"/>
  <c r="J68" i="2"/>
  <c r="I69" i="2"/>
  <c r="J69" i="2"/>
  <c r="L142" i="2"/>
  <c r="M142" i="2"/>
  <c r="L101" i="2"/>
  <c r="M101" i="2"/>
  <c r="H82" i="5"/>
  <c r="I82" i="5"/>
  <c r="K66" i="5"/>
  <c r="L66" i="5"/>
  <c r="H120" i="5"/>
  <c r="I120" i="5"/>
  <c r="H117" i="5"/>
  <c r="I117" i="5"/>
  <c r="H73" i="5"/>
  <c r="I73" i="5"/>
  <c r="D72" i="5"/>
  <c r="D88" i="5"/>
  <c r="H92" i="5"/>
  <c r="I92" i="5"/>
  <c r="C56" i="5"/>
  <c r="H57" i="5"/>
  <c r="I57" i="5"/>
  <c r="K123" i="5"/>
  <c r="L123" i="5"/>
  <c r="K101" i="5"/>
  <c r="L101" i="5"/>
  <c r="K76" i="5"/>
  <c r="L76" i="5"/>
  <c r="K92" i="5"/>
  <c r="L92" i="5"/>
  <c r="K60" i="5"/>
  <c r="L60" i="5"/>
  <c r="K63" i="5"/>
  <c r="L63" i="5"/>
  <c r="K69" i="5"/>
  <c r="L69" i="5"/>
  <c r="H79" i="5"/>
  <c r="I79" i="5"/>
  <c r="H95" i="5"/>
  <c r="I95" i="5"/>
  <c r="H114" i="5"/>
  <c r="I114" i="5"/>
  <c r="H69" i="5"/>
  <c r="I69" i="5"/>
  <c r="K117" i="5"/>
  <c r="L117" i="5"/>
  <c r="D56" i="5"/>
  <c r="H101" i="5"/>
  <c r="I101" i="5"/>
  <c r="K114" i="5"/>
  <c r="L114" i="5"/>
  <c r="K120" i="5"/>
  <c r="L120" i="5"/>
  <c r="H123" i="5"/>
  <c r="I123" i="5"/>
  <c r="H35" i="5"/>
  <c r="I35" i="5"/>
  <c r="K7" i="5"/>
  <c r="L7" i="5"/>
  <c r="K27" i="5"/>
  <c r="L27" i="5"/>
  <c r="K79" i="5"/>
  <c r="L79" i="5"/>
  <c r="H27" i="5"/>
  <c r="I27" i="5"/>
  <c r="H41" i="5"/>
  <c r="I41" i="5"/>
  <c r="H60" i="5"/>
  <c r="I60" i="5"/>
  <c r="K126" i="5"/>
  <c r="L126" i="5"/>
  <c r="K35" i="5"/>
  <c r="L35" i="5"/>
  <c r="K42" i="5"/>
  <c r="L42" i="5"/>
  <c r="H47" i="5"/>
  <c r="I47" i="5"/>
  <c r="H66" i="5"/>
  <c r="I66" i="5"/>
  <c r="C72" i="5"/>
  <c r="K73" i="5"/>
  <c r="L73" i="5"/>
  <c r="G72" i="5"/>
  <c r="C88" i="5"/>
  <c r="K89" i="5"/>
  <c r="L89" i="5"/>
  <c r="H110" i="5"/>
  <c r="K57" i="5"/>
  <c r="L57" i="5"/>
  <c r="G56" i="5"/>
  <c r="K95" i="5"/>
  <c r="L95" i="5"/>
  <c r="K3" i="5"/>
  <c r="L3" i="5"/>
  <c r="H63" i="5"/>
  <c r="I63" i="5"/>
  <c r="K82" i="5"/>
  <c r="L82" i="5"/>
  <c r="K98" i="5"/>
  <c r="L98" i="5"/>
  <c r="K111" i="5"/>
  <c r="L111" i="5"/>
  <c r="G55" i="5"/>
  <c r="C45" i="5"/>
  <c r="K6" i="5"/>
  <c r="L6" i="5"/>
  <c r="C59" i="2"/>
  <c r="C34" i="2"/>
  <c r="C163" i="2"/>
  <c r="C191" i="2"/>
  <c r="G53" i="5"/>
  <c r="G105" i="5"/>
  <c r="D55" i="5"/>
  <c r="D53" i="5"/>
  <c r="C107" i="5"/>
  <c r="C130" i="5"/>
  <c r="C3" i="2"/>
  <c r="C182" i="2"/>
  <c r="L51" i="2"/>
  <c r="M51" i="2"/>
  <c r="G45" i="5"/>
  <c r="H6" i="5"/>
  <c r="I6" i="5"/>
  <c r="L60" i="2"/>
  <c r="M60" i="2"/>
  <c r="I114" i="2"/>
  <c r="J114" i="2"/>
  <c r="L114" i="2"/>
  <c r="M114" i="2"/>
  <c r="L103" i="2"/>
  <c r="M103" i="2"/>
  <c r="I67" i="2"/>
  <c r="J67" i="2"/>
  <c r="I140" i="2"/>
  <c r="J140" i="2"/>
  <c r="L140" i="2"/>
  <c r="M140" i="2"/>
  <c r="I36" i="2"/>
  <c r="J36" i="2"/>
  <c r="I75" i="2"/>
  <c r="J75" i="2"/>
  <c r="L75" i="2"/>
  <c r="M75" i="2"/>
  <c r="L36" i="2"/>
  <c r="M36" i="2"/>
  <c r="L91" i="2"/>
  <c r="M91" i="2"/>
  <c r="I4" i="2"/>
  <c r="J4" i="2"/>
  <c r="L4" i="2"/>
  <c r="M4" i="2"/>
  <c r="H138" i="5"/>
  <c r="I138" i="5"/>
  <c r="C55" i="5"/>
  <c r="C53" i="5"/>
  <c r="C105" i="5"/>
  <c r="K34" i="5"/>
  <c r="L34" i="5"/>
  <c r="H34" i="5"/>
  <c r="I34" i="5"/>
  <c r="I110" i="5"/>
  <c r="K110" i="5"/>
  <c r="L110" i="5"/>
  <c r="G130" i="5"/>
  <c r="K72" i="5"/>
  <c r="L72" i="5"/>
  <c r="H72" i="5"/>
  <c r="I72" i="5"/>
  <c r="K56" i="5"/>
  <c r="L56" i="5"/>
  <c r="H56" i="5"/>
  <c r="I56" i="5"/>
  <c r="K88" i="5"/>
  <c r="L88" i="5"/>
  <c r="H88" i="5"/>
  <c r="I88" i="5"/>
  <c r="H5" i="5"/>
  <c r="I5" i="5"/>
  <c r="D105" i="5"/>
  <c r="D133" i="5"/>
  <c r="D138" i="5"/>
  <c r="C133" i="5"/>
  <c r="L35" i="2"/>
  <c r="M35" i="2"/>
  <c r="C164" i="2"/>
  <c r="C172" i="2"/>
  <c r="C193" i="2"/>
  <c r="L59" i="2"/>
  <c r="M59" i="2"/>
  <c r="I103" i="2"/>
  <c r="J103" i="2"/>
  <c r="I59" i="2"/>
  <c r="J59" i="2"/>
  <c r="L67" i="2"/>
  <c r="M67" i="2"/>
  <c r="I3" i="2"/>
  <c r="J3" i="2"/>
  <c r="L3" i="2"/>
  <c r="M3" i="2"/>
  <c r="I35" i="2"/>
  <c r="J35" i="2"/>
  <c r="I139" i="2"/>
  <c r="J139" i="2"/>
  <c r="L139" i="2"/>
  <c r="M139" i="2"/>
  <c r="K5" i="5"/>
  <c r="L5" i="5"/>
  <c r="H55" i="5"/>
  <c r="I55" i="5"/>
  <c r="K55" i="5"/>
  <c r="L55" i="5"/>
  <c r="K45" i="5"/>
  <c r="L45" i="5"/>
  <c r="H45" i="5"/>
  <c r="I45" i="5"/>
  <c r="K107" i="5"/>
  <c r="L107" i="5"/>
  <c r="H107" i="5"/>
  <c r="I107" i="5"/>
  <c r="G133" i="5"/>
  <c r="I182" i="2"/>
  <c r="J182" i="2"/>
  <c r="L182" i="2"/>
  <c r="M182" i="2"/>
  <c r="L34" i="2"/>
  <c r="M34" i="2"/>
  <c r="I34" i="2"/>
  <c r="J34" i="2"/>
  <c r="H53" i="5"/>
  <c r="I53" i="5"/>
  <c r="K53" i="5"/>
  <c r="L53" i="5"/>
  <c r="H130" i="5"/>
  <c r="I130" i="5"/>
  <c r="K130" i="5"/>
  <c r="L130" i="5"/>
  <c r="I163" i="2"/>
  <c r="J163" i="2"/>
  <c r="L163" i="2"/>
  <c r="M163" i="2"/>
  <c r="H105" i="5"/>
  <c r="I105" i="5"/>
  <c r="K105" i="5"/>
  <c r="L105" i="5"/>
  <c r="I164" i="2"/>
  <c r="J164" i="2"/>
  <c r="L164" i="2"/>
  <c r="M164" i="2"/>
  <c r="L191" i="2"/>
  <c r="M191" i="2"/>
  <c r="I191" i="2"/>
  <c r="J191" i="2"/>
  <c r="K133" i="5"/>
  <c r="L133" i="5"/>
  <c r="H133" i="5"/>
  <c r="I133" i="5"/>
  <c r="G193" i="2"/>
  <c r="I172" i="2"/>
  <c r="J172" i="2"/>
  <c r="L172" i="2"/>
  <c r="M172" i="2"/>
  <c r="L193" i="2"/>
  <c r="M193" i="2"/>
  <c r="I193" i="2"/>
  <c r="J193" i="2"/>
  <c r="H86" i="10"/>
  <c r="K82" i="10"/>
  <c r="L82" i="10"/>
  <c r="H82" i="10"/>
  <c r="I82" i="10"/>
  <c r="K81" i="10"/>
  <c r="L81" i="10"/>
  <c r="H81" i="10"/>
  <c r="I81" i="10"/>
  <c r="K80" i="10"/>
  <c r="L80" i="10"/>
  <c r="H80" i="10"/>
  <c r="I80" i="10"/>
  <c r="K79" i="10"/>
  <c r="L79" i="10"/>
  <c r="H79" i="10"/>
  <c r="I79" i="10"/>
  <c r="K77" i="10"/>
  <c r="L77" i="10"/>
  <c r="H77" i="10"/>
  <c r="I77" i="10"/>
  <c r="K76" i="10"/>
  <c r="L76" i="10"/>
  <c r="H76" i="10"/>
  <c r="I76" i="10"/>
  <c r="K75" i="10"/>
  <c r="L75" i="10"/>
  <c r="H75" i="10"/>
  <c r="I75" i="10"/>
  <c r="K74" i="10"/>
  <c r="L74" i="10"/>
  <c r="H74" i="10"/>
  <c r="I74" i="10"/>
  <c r="K73" i="10"/>
  <c r="L73" i="10"/>
  <c r="H73" i="10"/>
  <c r="I73" i="10"/>
  <c r="K72" i="10"/>
  <c r="L72" i="10"/>
  <c r="H72" i="10"/>
  <c r="I72" i="10"/>
  <c r="K71" i="10"/>
  <c r="L71" i="10"/>
  <c r="H71" i="10"/>
  <c r="I71" i="10"/>
  <c r="K70" i="10"/>
  <c r="L70" i="10"/>
  <c r="H70" i="10"/>
  <c r="I70" i="10"/>
  <c r="K69" i="10"/>
  <c r="L69" i="10"/>
  <c r="H69" i="10"/>
  <c r="I69" i="10"/>
  <c r="K68" i="10"/>
  <c r="L68" i="10"/>
  <c r="H68" i="10"/>
  <c r="I68" i="10"/>
  <c r="K67" i="10"/>
  <c r="L67" i="10"/>
  <c r="H67" i="10"/>
  <c r="I67" i="10"/>
  <c r="K66" i="10"/>
  <c r="L66" i="10"/>
  <c r="H66" i="10"/>
  <c r="I66" i="10"/>
  <c r="K65" i="10"/>
  <c r="L65" i="10"/>
  <c r="H65" i="10"/>
  <c r="I65" i="10"/>
  <c r="K64" i="10"/>
  <c r="L64" i="10"/>
  <c r="H64" i="10"/>
  <c r="I64" i="10"/>
  <c r="K63" i="10"/>
  <c r="L63" i="10"/>
  <c r="H63" i="10"/>
  <c r="I63" i="10"/>
  <c r="K62" i="10"/>
  <c r="L62" i="10"/>
  <c r="H62" i="10"/>
  <c r="I62" i="10"/>
  <c r="K61" i="10"/>
  <c r="L61" i="10"/>
  <c r="H61" i="10"/>
  <c r="I61" i="10"/>
  <c r="K60" i="10"/>
  <c r="L60" i="10"/>
  <c r="H60" i="10"/>
  <c r="I60" i="10"/>
  <c r="K59" i="10"/>
  <c r="L59" i="10"/>
  <c r="H59" i="10"/>
  <c r="I59" i="10"/>
  <c r="K58" i="10"/>
  <c r="L58" i="10"/>
  <c r="H58" i="10"/>
  <c r="I58" i="10"/>
  <c r="K57" i="10"/>
  <c r="L57" i="10"/>
  <c r="H57" i="10"/>
  <c r="I57" i="10"/>
  <c r="K56" i="10"/>
  <c r="L56" i="10"/>
  <c r="H56" i="10"/>
  <c r="I56" i="10"/>
  <c r="K55" i="10"/>
  <c r="L55" i="10"/>
  <c r="H55" i="10"/>
  <c r="I55" i="10"/>
  <c r="K54" i="10"/>
  <c r="L54" i="10"/>
  <c r="H54" i="10"/>
  <c r="I54" i="10"/>
  <c r="K5" i="10"/>
  <c r="L5" i="10"/>
  <c r="H5" i="10"/>
  <c r="I5" i="10"/>
  <c r="H6" i="10"/>
  <c r="I6" i="10"/>
  <c r="H7" i="10"/>
  <c r="I7" i="10"/>
  <c r="H8" i="10"/>
  <c r="I8" i="10"/>
  <c r="H9" i="10"/>
  <c r="I9" i="10"/>
  <c r="H10" i="10"/>
  <c r="I10" i="10"/>
  <c r="H11" i="10"/>
  <c r="I11" i="10"/>
  <c r="H12" i="10"/>
  <c r="I12" i="10"/>
  <c r="H13" i="10"/>
  <c r="I13" i="10"/>
  <c r="H14" i="10"/>
  <c r="I14"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H29" i="10"/>
  <c r="I29" i="10"/>
  <c r="H30" i="10"/>
  <c r="I30" i="10"/>
  <c r="H32" i="10"/>
  <c r="I32" i="10"/>
  <c r="H33" i="10"/>
  <c r="I33" i="10"/>
  <c r="H34" i="10"/>
  <c r="I34" i="10"/>
  <c r="H35" i="10"/>
  <c r="I35" i="10"/>
  <c r="H36" i="10"/>
  <c r="I36" i="10"/>
  <c r="H37" i="10"/>
  <c r="I37" i="10"/>
  <c r="H38" i="10"/>
  <c r="I38" i="10"/>
  <c r="H39" i="10"/>
  <c r="I39" i="10"/>
  <c r="H40" i="10"/>
  <c r="I40" i="10"/>
  <c r="K40" i="10"/>
  <c r="L40" i="10"/>
  <c r="K39" i="10"/>
  <c r="L39" i="10"/>
  <c r="K38" i="10"/>
  <c r="L38" i="10"/>
  <c r="K37" i="10"/>
  <c r="L37" i="10"/>
  <c r="K36" i="10"/>
  <c r="L36" i="10"/>
  <c r="K35" i="10"/>
  <c r="L35" i="10"/>
  <c r="K34" i="10"/>
  <c r="L34" i="10"/>
  <c r="K33" i="10"/>
  <c r="L33" i="10"/>
  <c r="K32" i="10"/>
  <c r="L32" i="10"/>
  <c r="K30" i="10"/>
  <c r="L30" i="10"/>
  <c r="K29" i="10"/>
  <c r="L29" i="10"/>
  <c r="K28" i="10"/>
  <c r="L28" i="10"/>
  <c r="K27" i="10"/>
  <c r="L27" i="10"/>
  <c r="K26" i="10"/>
  <c r="L26" i="10"/>
  <c r="K25" i="10"/>
  <c r="L25" i="10"/>
  <c r="K24" i="10"/>
  <c r="L24" i="10"/>
  <c r="K23" i="10"/>
  <c r="L23" i="10"/>
  <c r="K22" i="10"/>
  <c r="L22" i="10"/>
  <c r="K21" i="10"/>
  <c r="L21" i="10"/>
  <c r="K20" i="10"/>
  <c r="L20" i="10"/>
  <c r="K19" i="10"/>
  <c r="L19" i="10"/>
  <c r="L18" i="10"/>
  <c r="K17" i="10"/>
  <c r="L17" i="10"/>
  <c r="K16" i="10"/>
  <c r="L16" i="10"/>
  <c r="K14" i="10"/>
  <c r="L14" i="10"/>
  <c r="K13" i="10"/>
  <c r="L13" i="10"/>
  <c r="K12" i="10"/>
  <c r="L12" i="10"/>
  <c r="K11" i="10"/>
  <c r="L11" i="10"/>
  <c r="K10" i="10"/>
  <c r="L10" i="10"/>
  <c r="K9" i="10"/>
  <c r="L9" i="10"/>
  <c r="K8" i="10"/>
  <c r="L8" i="10"/>
  <c r="K7" i="10"/>
  <c r="L7" i="10"/>
  <c r="K6" i="10"/>
  <c r="L6" i="10"/>
  <c r="H42" i="10"/>
  <c r="I42" i="10"/>
  <c r="K42" i="10"/>
  <c r="L42" i="10"/>
  <c r="H43" i="10"/>
  <c r="I43" i="10"/>
  <c r="K43" i="10"/>
  <c r="L43" i="10"/>
  <c r="H44" i="10"/>
  <c r="I44" i="10"/>
  <c r="K44" i="10"/>
  <c r="L44" i="10"/>
  <c r="H45" i="10"/>
  <c r="I45" i="10"/>
  <c r="K45" i="10"/>
  <c r="L45" i="10"/>
  <c r="H46" i="10"/>
  <c r="I46" i="10"/>
  <c r="K46" i="10"/>
  <c r="L46" i="10"/>
  <c r="H48" i="10"/>
  <c r="I48" i="10"/>
  <c r="K48" i="10"/>
  <c r="L48" i="10"/>
  <c r="H49" i="10"/>
  <c r="I49" i="10"/>
  <c r="K49" i="10"/>
  <c r="L49" i="10"/>
  <c r="H50" i="10"/>
  <c r="I50" i="10"/>
  <c r="K50" i="10"/>
  <c r="L50" i="10"/>
  <c r="H51" i="10"/>
  <c r="I51" i="10"/>
  <c r="K51" i="10"/>
  <c r="L51" i="10"/>
  <c r="H52" i="10"/>
  <c r="I52" i="10"/>
  <c r="K52" i="10"/>
  <c r="L52" i="10"/>
  <c r="L88" i="10"/>
  <c r="H87" i="10"/>
  <c r="K87" i="10"/>
  <c r="K91" i="10"/>
  <c r="L91" i="10"/>
  <c r="K89" i="10"/>
  <c r="L89" i="10"/>
  <c r="L87" i="10"/>
  <c r="L86" i="10"/>
  <c r="K85" i="10"/>
  <c r="L85" i="10"/>
  <c r="K84" i="10"/>
  <c r="L84" i="10"/>
  <c r="H91" i="10"/>
  <c r="I91" i="10"/>
  <c r="H89" i="10"/>
  <c r="I89" i="10"/>
  <c r="I87" i="10"/>
  <c r="I86" i="10"/>
  <c r="H85" i="10"/>
  <c r="I85" i="10"/>
  <c r="H84" i="10"/>
  <c r="I84" i="10"/>
</calcChain>
</file>

<file path=xl/sharedStrings.xml><?xml version="1.0" encoding="utf-8"?>
<sst xmlns="http://schemas.openxmlformats.org/spreadsheetml/2006/main" count="1305" uniqueCount="957">
  <si>
    <t>Kods</t>
  </si>
  <si>
    <t>A</t>
  </si>
  <si>
    <t>I   IEŅĒMUMI NO SAIMNIECISKĀS DARBĪBAS KOPĀ</t>
  </si>
  <si>
    <t>Valsts budžeta līdzekļi</t>
  </si>
  <si>
    <t xml:space="preserve">stacionārai palīdzībai </t>
  </si>
  <si>
    <t>pacientu iemaksas par atbrīvotajām kategorijām (stacionāram)</t>
  </si>
  <si>
    <t>ambulatorai palīdzībai</t>
  </si>
  <si>
    <t>pacientu iemaksas par atbrīvotajām kategorijām (ambulatorai p.)</t>
  </si>
  <si>
    <t>asins sagatavošanas nodaļas pakalpojumiem</t>
  </si>
  <si>
    <t>citi ieņēmumi (piem.reģistru uztur., retajiem medikam. utt.)</t>
  </si>
  <si>
    <t>Ieņēmumi par valsts finansēto zinātnisko darbību (TOP;GRANTI)</t>
  </si>
  <si>
    <t>Valsts pārvaldes deleģēto uzdevumu veikšana (Černobiļas apliecības izsniegšana)</t>
  </si>
  <si>
    <t>Pakalpojumi no maznodrošinātajiem</t>
  </si>
  <si>
    <t>Dotācija no pašvaldības budžeta</t>
  </si>
  <si>
    <t>Uzņēmuma  nopelnītie līdzekļi</t>
  </si>
  <si>
    <t>pārējie saimnieciskās darbības ieņēmumi</t>
  </si>
  <si>
    <t>Saņemtās pacientu iemaksas (stacionāram)</t>
  </si>
  <si>
    <t>Saņemtās pacientu iemaksas (ambulatorai p.)</t>
  </si>
  <si>
    <t>Ziedojumi</t>
  </si>
  <si>
    <t>Pacienta līdzmaksājums par operāciju</t>
  </si>
  <si>
    <t>B</t>
  </si>
  <si>
    <t>1000</t>
  </si>
  <si>
    <t>ATLĪDZĪBA</t>
  </si>
  <si>
    <t>Atalgojums - kopā</t>
  </si>
  <si>
    <t>Mēneša amatalga</t>
  </si>
  <si>
    <t>Samaksa par darbu svētku dienās un virsstundu darbu</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</si>
  <si>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</si>
  <si>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</si>
  <si>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</si>
  <si>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</si>
  <si>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</si>
  <si>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</si>
  <si>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</si>
  <si>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</si>
  <si>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</si>
  <si>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</si>
  <si>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</si>
  <si>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</si>
  <si>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</si>
  <si>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</si>
  <si>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</si>
  <si>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Dienas nauda</t>
  </si>
  <si>
    <t>Ārvalstu mācību, darba un dienesta komandējumi, dienesta, darba braucieni</t>
  </si>
  <si>
    <t>Pakalpojumi</t>
  </si>
  <si>
    <t>Izdevumi par komunālajiem pakalpojumiem</t>
  </si>
  <si>
    <t>Izdevumi par elektroenerģiju</t>
  </si>
  <si>
    <t>Izdevumi par pārējiem komunālajiem pakalpojumiem</t>
  </si>
  <si>
    <t>Izdevumi par transporta pakalpojumiem</t>
  </si>
  <si>
    <t>Normatīvajos aktos noteiktie darba devēja veselības izdevumi darba ņēmējiem</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</si>
  <si>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</si>
  <si>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</si>
  <si>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</si>
  <si>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</si>
  <si>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</si>
  <si>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Īre un noma</t>
  </si>
  <si>
    <t>Ēku, telpu īre un noma</t>
  </si>
  <si>
    <t>Transportlīdzekļu noma</t>
  </si>
  <si>
    <t>Zemes noma</t>
  </si>
  <si>
    <t>Pārējā noma</t>
  </si>
  <si>
    <t>Izdevumi par tiesvedības darbiem</t>
  </si>
  <si>
    <t>Maksa par zinātniskās pētniecības darbu izpildi</t>
  </si>
  <si>
    <t>Maksājumi par saņemtajiem finanšu pakalpojumiem</t>
  </si>
  <si>
    <t>Krājumi, materiāli, energoresursi, preces, biroja preces un inventārs, kurus neuzskaita kodā 5000</t>
  </si>
  <si>
    <t>Biroja preces</t>
  </si>
  <si>
    <t>Inventārs</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</si>
  <si>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</si>
  <si>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</si>
  <si>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</si>
  <si>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</si>
  <si>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</si>
  <si>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</si>
  <si>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</si>
  <si>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Mīkstais inventārs</t>
  </si>
  <si>
    <t>Virtuves inventārs, trauki un galda piederumi</t>
  </si>
  <si>
    <t>Ēdināšanas izdevumi</t>
  </si>
  <si>
    <t>Apdrošināšanas izdevumi veselības, dzīvības un nelaimes gadījumu apdrošināšanai</t>
  </si>
  <si>
    <t>Mācību līdzekļi un materiāli</t>
  </si>
  <si>
    <t>Specifiskie materiāli un inventārs</t>
  </si>
  <si>
    <t>Pārējās preces</t>
  </si>
  <si>
    <t>Pievienotās vērtības nodokļa maksājumi</t>
  </si>
  <si>
    <t>Iedzīvotāju ienākuma nodoklis (no maksātnespējīgā darba devēja darbinieku prasījumu summām)</t>
  </si>
  <si>
    <t>Dabas resursu nodokļa maksājumi</t>
  </si>
  <si>
    <t>Uzņēmējdarbības riska valsts nodeva</t>
  </si>
  <si>
    <t>Pārējie pārskaitītie nodokļi un nodevas</t>
  </si>
  <si>
    <t>Pakalpojumi, kurus budžeta iestādes apmaksā noteikto funkciju ietvaros, kas nav iestādes administratīvie izdevumi</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</si>
  <si>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</si>
  <si>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</si>
  <si>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</si>
  <si>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</si>
  <si>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</si>
  <si>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</si>
  <si>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Procentu maksājumi Valsts kasei</t>
  </si>
  <si>
    <t>C</t>
  </si>
  <si>
    <t>KOPĀ IZDEVUMI</t>
  </si>
  <si>
    <t>D</t>
  </si>
  <si>
    <t>N O L I E T O J U M S</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</si>
  <si>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</si>
  <si>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</si>
  <si>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</si>
  <si>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</si>
  <si>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</si>
  <si>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</si>
  <si>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</si>
  <si>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</si>
  <si>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</si>
  <si>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</si>
  <si>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</si>
  <si>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</si>
  <si>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</si>
  <si>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</si>
  <si>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</si>
  <si>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</si>
  <si>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</si>
  <si>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</si>
  <si>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</si>
  <si>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</si>
  <si>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Atliktā UIN saistības</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</si>
  <si>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</si>
  <si>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</si>
  <si>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</si>
  <si>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</si>
  <si>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</si>
  <si>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</si>
  <si>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</si>
  <si>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</si>
  <si>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</si>
  <si>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</si>
  <si>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</si>
  <si>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</si>
  <si>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</si>
  <si>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</si>
  <si>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</si>
  <si>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</si>
  <si>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</si>
  <si>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</si>
  <si>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</si>
  <si>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</si>
  <si>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</si>
  <si>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</si>
  <si>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00143</t>
  </si>
  <si>
    <t>00144</t>
  </si>
  <si>
    <t>0020</t>
  </si>
  <si>
    <t>00211</t>
  </si>
  <si>
    <t>0030</t>
  </si>
  <si>
    <t>maksas veselības aprūpes pakalpojumi</t>
  </si>
  <si>
    <t>maksas sociālie pakalpojumi</t>
  </si>
  <si>
    <t>00313</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</si>
  <si>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</si>
  <si>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</si>
  <si>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</si>
  <si>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</si>
  <si>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</si>
  <si>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</si>
  <si>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</si>
  <si>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</si>
  <si>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</si>
  <si>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</si>
  <si>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</si>
  <si>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</si>
  <si>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Remontdarbi un iestāžu uzturēšanas pakalpojumi (izņemot kapitālo remontu)</t>
  </si>
  <si>
    <t xml:space="preserve">Nekustamā īpašuma uzturēšana </t>
  </si>
  <si>
    <t>Iekārtu, aparatūras un inventāra īre un noma</t>
  </si>
  <si>
    <t>Izdevumi juridiskās palīdzības sniedzējiem un zvērinātiem tiesu izpildītājiem</t>
  </si>
  <si>
    <t>Pārējie valsts un pašvaldību aprūpē un apgādē esošo personu uzturēšanas izdevumi, kuri nav minēti citos koda 2360 apakškodos</t>
  </si>
  <si>
    <t>Valsts sociālās apdrošināšanas  obligātās iemaksas (no maksātnespējīga darba devēja darbinieku prasījumu summām)</t>
  </si>
  <si>
    <t>Procentu maksājumi iekšzemes finanšu institūcijām par aizņēmumiem un vērtspapīriem</t>
  </si>
  <si>
    <t>Līzinga procentu maksājumi</t>
  </si>
  <si>
    <t>Procentu maksājumi par aizņēmumiem no pašvaldību budžeta</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</si>
  <si>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</si>
  <si>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</si>
  <si>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</si>
  <si>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</si>
  <si>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</si>
  <si>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</si>
  <si>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</si>
  <si>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</si>
  <si>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</si>
  <si>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</si>
  <si>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</si>
  <si>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</si>
  <si>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H</t>
  </si>
  <si>
    <t>I</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</si>
  <si>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</si>
  <si>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</si>
  <si>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</si>
  <si>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</si>
  <si>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</si>
  <si>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</si>
  <si>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</si>
  <si>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</si>
  <si>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</si>
  <si>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</si>
  <si>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</si>
  <si>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</si>
  <si>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</si>
  <si>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</si>
  <si>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</si>
  <si>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</si>
  <si>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</si>
  <si>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</si>
  <si>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</si>
  <si>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</si>
  <si>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</si>
  <si>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</si>
  <si>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</si>
  <si>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</si>
  <si>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</si>
  <si>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Citu ārvalstu projektu līdzfinansējums</t>
  </si>
  <si>
    <t>Pašu līdzekļi</t>
  </si>
  <si>
    <t>Budžeta līdzekļi</t>
  </si>
  <si>
    <t>Pacientu personīgie līdzekļi</t>
  </si>
  <si>
    <t>Citi finanšu līdzekļi</t>
  </si>
  <si>
    <t>Elektroenerģijas patērinš (kWh)</t>
  </si>
  <si>
    <t>Centrālapkures patēriņš (MWh)</t>
  </si>
  <si>
    <t>27500</t>
  </si>
  <si>
    <t>27400</t>
  </si>
  <si>
    <t>X</t>
  </si>
  <si>
    <t>27100</t>
  </si>
  <si>
    <t>27000</t>
  </si>
  <si>
    <t>26450</t>
  </si>
  <si>
    <t>26440</t>
  </si>
  <si>
    <t>26430</t>
  </si>
  <si>
    <t>26420</t>
  </si>
  <si>
    <t>26410</t>
  </si>
  <si>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</si>
  <si>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</si>
  <si>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</si>
  <si>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</si>
  <si>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</si>
  <si>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</si>
  <si>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</si>
  <si>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</si>
  <si>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</si>
  <si>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</si>
  <si>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</si>
  <si>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</si>
  <si>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</si>
  <si>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</si>
  <si>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</si>
  <si>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</si>
  <si>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</si>
  <si>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</si>
  <si>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</si>
  <si>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</si>
  <si>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</si>
  <si>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</si>
  <si>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</si>
  <si>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t>25500</t>
  </si>
  <si>
    <t xml:space="preserve">Klientu skaits </t>
  </si>
  <si>
    <t>25400</t>
  </si>
  <si>
    <t>25300</t>
  </si>
  <si>
    <t>25200</t>
  </si>
  <si>
    <t>Klientu dienu skaits</t>
  </si>
  <si>
    <t>25100</t>
  </si>
  <si>
    <t>25000</t>
  </si>
  <si>
    <t>24500</t>
  </si>
  <si>
    <t>24400</t>
  </si>
  <si>
    <t>24300</t>
  </si>
  <si>
    <t>24200</t>
  </si>
  <si>
    <t>24100</t>
  </si>
  <si>
    <t>24000</t>
  </si>
  <si>
    <t>23320</t>
  </si>
  <si>
    <t>t.sk. dienas stacionārā</t>
  </si>
  <si>
    <t>23300</t>
  </si>
  <si>
    <t>23290</t>
  </si>
  <si>
    <t>23280</t>
  </si>
  <si>
    <t>23270</t>
  </si>
  <si>
    <t>23262</t>
  </si>
  <si>
    <t>23261</t>
  </si>
  <si>
    <t>23251</t>
  </si>
  <si>
    <t>23250</t>
  </si>
  <si>
    <t>Vidējais gultu skaits stacionārā</t>
  </si>
  <si>
    <t>23210</t>
  </si>
  <si>
    <t>23200</t>
  </si>
  <si>
    <t>231132</t>
  </si>
  <si>
    <t>231131</t>
  </si>
  <si>
    <t>23113</t>
  </si>
  <si>
    <t>23112</t>
  </si>
  <si>
    <t>23111</t>
  </si>
  <si>
    <t>23110</t>
  </si>
  <si>
    <t>23100</t>
  </si>
  <si>
    <t>23000</t>
  </si>
  <si>
    <t>Naturālie rādītāji</t>
  </si>
  <si>
    <t>23231</t>
  </si>
  <si>
    <t>23232</t>
  </si>
  <si>
    <t>VADC asins komponenti</t>
  </si>
  <si>
    <t>Medicīnas preces</t>
  </si>
  <si>
    <t>Implanti</t>
  </si>
  <si>
    <t>Medicīnas instrumenti</t>
  </si>
  <si>
    <t>Asins iegāde (izdevumi atlīdzībai donoriem)</t>
  </si>
  <si>
    <t>00311</t>
  </si>
  <si>
    <t>00312</t>
  </si>
  <si>
    <t>Kapitālais remonts un rekonstrukcija</t>
  </si>
  <si>
    <t>Kopā intelektuālie īpašumi</t>
  </si>
  <si>
    <t>Kopā nekustamie īpašumi</t>
  </si>
  <si>
    <t>Kopā kustamie īpašumi</t>
  </si>
  <si>
    <t>Kopā ieguldījumi</t>
  </si>
  <si>
    <t>Medicīnas un laboratoijas iekārtas t.sk.:</t>
  </si>
  <si>
    <t>Pārējās tehnoloģiskās iekārtas un mašīnas t.sk.:</t>
  </si>
  <si>
    <t>Pārējās licences, koncesijas un patenti, preču zīmes un tamlīdzīgas tiesības t.sk.:</t>
  </si>
  <si>
    <t>Saņemtās pacientu iemaksas (ambulatorai palīdzībai)</t>
  </si>
  <si>
    <t>pacientu iemaksas par atbrīvotajām kategorijām (ambulatorai palīdzībai)</t>
  </si>
  <si>
    <t>Atalgojums (1100)</t>
  </si>
  <si>
    <t>Darba devēja valsts sociālās apdrošināšanas obligātās iemaksas, sociāla rakstura pabalsti un kompensācijas (1200)</t>
  </si>
  <si>
    <t>Mācību, darba un dienesta komandējumi, darba braucieni (2100)</t>
  </si>
  <si>
    <t>Pakalpojumi (2200)</t>
  </si>
  <si>
    <t>Krājumi, materiāli, energoresursi, preces, biroja preces un inventārs, kurus neuzskaita kodā 5000 (2300; bez 2340)</t>
  </si>
  <si>
    <t>Zāles, ķimikālijas, laboratorijas preces, medicīniskās ierīces, medicīniskie instrumenti, laboratorijas dzīvnieki un to uzturēšana (2340)</t>
  </si>
  <si>
    <t>Procentu izdevumi (4000)</t>
  </si>
  <si>
    <t>Pārējie izdevumi (2400;2500; 2800)</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</si>
  <si>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</si>
  <si>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</si>
  <si>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</si>
  <si>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</si>
  <si>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</si>
  <si>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</si>
  <si>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</si>
  <si>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</si>
  <si>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</si>
  <si>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</si>
  <si>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</si>
  <si>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</si>
  <si>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</si>
  <si>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</si>
  <si>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Finansēšanas darbības naudas neto plūsma (17 000-18 000)</t>
  </si>
  <si>
    <t>Ieguldīšanas darbības neto naudas plūsma  (14000-15 000)</t>
  </si>
  <si>
    <t>Mēneša amatalga valdei</t>
  </si>
  <si>
    <t>Mēneša amatalga pārējiem darbiniekiem</t>
  </si>
  <si>
    <t>Zāles (medikamenti)</t>
  </si>
  <si>
    <t>Medikamenti noteikto funkciju nodrošināšanai</t>
  </si>
  <si>
    <t>Bezmaksas saņemto medikamentu un medicīnas preču, kas novērtētas naudas izteiksmē izlietojums</t>
  </si>
  <si>
    <t>Darba devēja pabalsti un kompensācijas, no kā neaprēķina iedzīvotāju ienākuma nodokli un valsts sociālās apdrošināšanas obligātās iemaksas</t>
  </si>
  <si>
    <t>Citi ieņēmumi (Ieņēmumi no bez atlīdzības saņemtajām precēm, investīcijām u.tml.)</t>
  </si>
  <si>
    <t>Izdarīto operāciju skaits diennakts stacionārā</t>
  </si>
  <si>
    <t>Ārstēšanas vidējais ilgums diennakts stacionārā (dienas)</t>
  </si>
  <si>
    <t>23321</t>
  </si>
  <si>
    <t>233211</t>
  </si>
  <si>
    <t>23322</t>
  </si>
  <si>
    <t>233221</t>
  </si>
  <si>
    <t>23350</t>
  </si>
  <si>
    <t>23330</t>
  </si>
  <si>
    <t>23340</t>
  </si>
  <si>
    <t>II  IZDEVUMI SAIMNIECISKĀS DARBĪBAS NODROŠINĀŠANAI KOPĀ</t>
  </si>
  <si>
    <t>Sterilizācijas un dezinfekcijas līdzekļi</t>
  </si>
  <si>
    <t>Laboratorijas preces</t>
  </si>
  <si>
    <t>Vidējais gultu skaits dienas stacionārā</t>
  </si>
  <si>
    <t>232501</t>
  </si>
  <si>
    <t>232511</t>
  </si>
  <si>
    <t>23230</t>
  </si>
  <si>
    <t>PEĻŅA PIRMS AMORTIZĀCIJAS UN PĀRĒJIEM IEŅĒMUMIEM</t>
  </si>
  <si>
    <t>PEĻŅA PIRMS PĀRĒJIEM IEŅĒMUMIEM, IZDEVUMIEM UN ĀRKĀRTAS IEŅĒMUMIEM</t>
  </si>
  <si>
    <t>Ieņēmumi no pārdotiem materiāliem un pamatlīdzekļiem</t>
  </si>
  <si>
    <t>Procentu maksājumi ārvalstu un starptautiskajām finanšu institūcijām par aizņēmumiem un vērtspapīriem</t>
  </si>
  <si>
    <t>Uzkrājums atvaļinājumu rezervēm,piem., uzņēmuma vadītājiem par pārskata gadu</t>
  </si>
  <si>
    <t>Ieņēmumos ieskaitītās dotācijas, dāvinājumi atbilstoši dāvināto pamatlīdzekļu nolietojumam par pārskata periodu</t>
  </si>
  <si>
    <t>Asins iegāde</t>
  </si>
  <si>
    <t>23351</t>
  </si>
  <si>
    <t>Medicīnas preces un instrumenti, laboratorijas dzīvnieki un to uzturēšana</t>
  </si>
  <si>
    <t>Izdarīto operāciju skaits dienas stacionārā</t>
  </si>
  <si>
    <t>Palīgtelpas (garāžas, šķūņi, katlumājas utt.)</t>
  </si>
  <si>
    <t>Bilances posteņi</t>
  </si>
  <si>
    <t>Pašu kapitāls</t>
  </si>
  <si>
    <t>Pamatkapitāls</t>
  </si>
  <si>
    <t>Pārējās rezerves</t>
  </si>
  <si>
    <t>Nesadalītā peļņa:</t>
  </si>
  <si>
    <t>Iepriekšējo gadu nesadalītā peļņa</t>
  </si>
  <si>
    <t>Pārskata gada nesadalītā peļņa</t>
  </si>
  <si>
    <t>Uzkrājumi</t>
  </si>
  <si>
    <t>Kreditori</t>
  </si>
  <si>
    <t>Ilgtermiņa kreditori</t>
  </si>
  <si>
    <t>Aizņēmumi no kredītiestādēm</t>
  </si>
  <si>
    <t>Atliktā uzņēmuma ienākuma nodokļa saistības</t>
  </si>
  <si>
    <t>Citi aizņēmumi</t>
  </si>
  <si>
    <t>Nākamo periodu ieņēmumi</t>
  </si>
  <si>
    <t>Citi kreditori</t>
  </si>
  <si>
    <t>Īstermiņa kreditori</t>
  </si>
  <si>
    <t>No pircējiem saņemtie avansi</t>
  </si>
  <si>
    <t>Parādi piegādātājiem un darbuzņēmējiem</t>
  </si>
  <si>
    <t>Nodokļi un sociālās nodroš.maksājumi</t>
  </si>
  <si>
    <t>Pārējie kreditori</t>
  </si>
  <si>
    <t>Uzkrātās saistības</t>
  </si>
  <si>
    <t>PASĪVU KOPSUMMA (45 000+46 000+47 000+48 000)</t>
  </si>
  <si>
    <t>Ilgtermiņa ieguldījumi</t>
  </si>
  <si>
    <t>Nemateriālie ieguldījumi</t>
  </si>
  <si>
    <t>Koncesijas,patenti,licences</t>
  </si>
  <si>
    <t>Avansa maksājumi par nemater.ieguldījumiem</t>
  </si>
  <si>
    <t>Pamatlīdzekļi</t>
  </si>
  <si>
    <t>Zemes gabali,ēkas un būves un ilggadīgie stādījumi</t>
  </si>
  <si>
    <t>Iekārtas un mašīnas</t>
  </si>
  <si>
    <t>Pārējie pamatlīdzekļi un inventārs</t>
  </si>
  <si>
    <t>Pamatl.izveidošana un nepab.celtniecība</t>
  </si>
  <si>
    <t>Avansa maksājumi par pamatlīdzekļiem</t>
  </si>
  <si>
    <t>Ieguldījumi nomātos pamatlīdzekļos</t>
  </si>
  <si>
    <t>Ilgtermiņa finanšu ieguldījumi</t>
  </si>
  <si>
    <t>Līdzdalība radniecīgo uzņēmumu kapitālā</t>
  </si>
  <si>
    <t>Pārējie vērtspapīri un ieguldījumi fondos</t>
  </si>
  <si>
    <t>Apgrozāmie līdzekļi</t>
  </si>
  <si>
    <t>Krājumi</t>
  </si>
  <si>
    <t>Izejvielas, pamatmateriāli un palīgmateriāli</t>
  </si>
  <si>
    <t>Gatavie ražojumi un preces pārdošanai</t>
  </si>
  <si>
    <t>Avansa maksājumi par precēm</t>
  </si>
  <si>
    <t>Debitori</t>
  </si>
  <si>
    <t>Pircēju,pasūtītāju parādi</t>
  </si>
  <si>
    <t>Radniecīgo uzņēmumu parādi</t>
  </si>
  <si>
    <t>Citi debitori</t>
  </si>
  <si>
    <t>Nākamo periodu izmaksas</t>
  </si>
  <si>
    <t>Uzkrātie ieņēmumi</t>
  </si>
  <si>
    <t>Nauda</t>
  </si>
  <si>
    <t>AKTĪVU KOPSUMMA (50 000+51 000)</t>
  </si>
  <si>
    <t>Kredītsaistības  (21 000+22 000)</t>
  </si>
  <si>
    <t xml:space="preserve">Ilgtermiņa kredītsaistības kopā </t>
  </si>
  <si>
    <t xml:space="preserve">Īstermiņa kredītsaistības kopā </t>
  </si>
  <si>
    <t>00150</t>
  </si>
  <si>
    <t>Finansējums Tehnisko palīglīdzekļu centra funkciju nodrošināšanai</t>
  </si>
  <si>
    <t>00212</t>
  </si>
  <si>
    <t>Veselības aprūpes pakalpojumiem</t>
  </si>
  <si>
    <t>Sociāliem pakalpojumiem</t>
  </si>
  <si>
    <t>Ieņēmumi par valsts finansēto zinātnisko darbību (TOP; GRANTI)</t>
  </si>
  <si>
    <t>Pārējie komandējumu un darba braucienu izdevumi</t>
  </si>
  <si>
    <t>Izdevumi par sakaru pakalpojumiem</t>
  </si>
  <si>
    <t>Izdevumi par siltumenerģiju</t>
  </si>
  <si>
    <t>Izdevumi par ūdensapgādi un kanalizāciju</t>
  </si>
  <si>
    <t>Dažādi pakalpojumi</t>
  </si>
  <si>
    <t>Izdevumi iestādes sabiedrisko aktivitāšu īstenošanai</t>
  </si>
  <si>
    <t>Izdevumi par profesionālās darbības pakalpojumiem</t>
  </si>
  <si>
    <t>Izdevumi par saņemtajiem mācību pakalpojumiem</t>
  </si>
  <si>
    <t>Maksājumu pakalpojumi un komisijas</t>
  </si>
  <si>
    <t>Pārējie neklasificētie pakalpojumi</t>
  </si>
  <si>
    <t>Ēku, būvju un telpu būvdarbi</t>
  </si>
  <si>
    <t>Pārējie pakalpojumi</t>
  </si>
  <si>
    <t>Ar brīvprātīgā darba veikšanu saistītie izdevumi</t>
  </si>
  <si>
    <t>Izdevumi par dažādām precēm un inventāru</t>
  </si>
  <si>
    <t>Darba aizsardzības līdzekļi</t>
  </si>
  <si>
    <t>Izdevumi par precēm iestādes sabiedrisko aktivitāšu īstenošanai</t>
  </si>
  <si>
    <t>Iestāžu uzturēšanas materiāli un preces</t>
  </si>
  <si>
    <t>Valsts un pašvaldību aprūpē, apgādē un dienestā (amatā) esošo personu uzturēšana</t>
  </si>
  <si>
    <t>Formas tērpi un speciālais apģērbs</t>
  </si>
  <si>
    <t>Nodokļu, nodevu un sankciju maksājumi</t>
  </si>
  <si>
    <t>Nodokļu un nodevu maksājumi</t>
  </si>
  <si>
    <t>Nekustamā īpašuma nodokļa maksājumi</t>
  </si>
  <si>
    <t>Maksājumi par budžeta iestādēm piemērotajām sankcijām</t>
  </si>
  <si>
    <t>Valsts budžeta (Valsts kases) procentu maksājumi</t>
  </si>
  <si>
    <t>Pārējie iepriekš neklasificētie procentu maksājumi</t>
  </si>
  <si>
    <t>Nemateriālo ieguldījumu nolietojums</t>
  </si>
  <si>
    <t>Rādītāja nosaukums</t>
  </si>
  <si>
    <t>Neto apgrozījums</t>
  </si>
  <si>
    <t>Pārdotās produkcijas ražošanas izmaksas</t>
  </si>
  <si>
    <t>Bruto peļņa vai zaudējumi (no apgrozījuma)</t>
  </si>
  <si>
    <t>Pārdošanas izmaksas</t>
  </si>
  <si>
    <t>Administrācijas izmaksas</t>
  </si>
  <si>
    <t xml:space="preserve">Pārējie saimnieciskās darbības ieņēmumi </t>
  </si>
  <si>
    <t>Pārējie saimnieciskās darbības izmaksas</t>
  </si>
  <si>
    <t>Ieņēmumi no līdzdalības meitas un asociēto sabiedrību kapitālos</t>
  </si>
  <si>
    <t>Ieņēmumi no vērtspapīriem un aizdevumiem, kas veidojuši ilgtermiņa aizdevumus</t>
  </si>
  <si>
    <t>Pārējie procentu ieņēmumi un tamlīdzīgi ieņēmumi</t>
  </si>
  <si>
    <t>Ilgtermiņa finanšu ieguldījumi un īstermiņa vērtspapīru vērtības norakstīšana</t>
  </si>
  <si>
    <t>Procentu maksājumi un tamlīdzīgas izmaksas</t>
  </si>
  <si>
    <t>Peļņa vai zaudējumi pirms ārkārtas posteņiem un nodokļiem</t>
  </si>
  <si>
    <t>Ārkārtas ieņēmumi</t>
  </si>
  <si>
    <t>Ārkārtas izmaksas</t>
  </si>
  <si>
    <t>Ārkārtas peļņa vai zaudējumi pirms nodokļiem</t>
  </si>
  <si>
    <t>Uzņēmuma ienākuma nodoklis par pārskata periodu</t>
  </si>
  <si>
    <t>Atliktā nodokļa ieņēmumi vai izmaksas</t>
  </si>
  <si>
    <t>Pārējie nodokļi</t>
  </si>
  <si>
    <t>Pārskata perioda peļņa vai zaudējumi pēc nodokļiem</t>
  </si>
  <si>
    <t>Nr.p.k.</t>
  </si>
  <si>
    <t>Naudas plūsmas pozīcijas</t>
  </si>
  <si>
    <t>Citi ieņēmumi (piem.reģistru uztur., retajiem medikam. utt.)</t>
  </si>
  <si>
    <r>
      <t xml:space="preserve">Eiropas Struktūrfondi investīcijām kopā </t>
    </r>
    <r>
      <rPr>
        <i/>
        <sz val="14"/>
        <rFont val="Times New Roman"/>
        <family val="1"/>
      </rPr>
      <t>(sadalījumā pa projektiem un/vai finansējuma mērķiem)</t>
    </r>
  </si>
  <si>
    <t>VESELĪBAS APRŪPE</t>
  </si>
  <si>
    <t>Neatliekamās medicīniskās palīdzības sniegšana uzņemšanas nodaļā (t.sk. traumpunktā), izslēdzot dzemdības un plānveida hospitalizācijas</t>
  </si>
  <si>
    <t>Kopējais pacientu skaits periodā, kas vērsušies NMPUN, t.sk.</t>
  </si>
  <si>
    <t>Pacientu skaits periodā, kuri pēc observācijas novirzīti turpmākai ambulatorai ārstēšanai</t>
  </si>
  <si>
    <t>Pacientu skaits periodā, kuri pēc observācijas stacionēti</t>
  </si>
  <si>
    <t>23212</t>
  </si>
  <si>
    <t>Kopējais stacionēto pacientu skaits no NMPUN (23112+231132)</t>
  </si>
  <si>
    <t>23213</t>
  </si>
  <si>
    <t>23214</t>
  </si>
  <si>
    <t>23215</t>
  </si>
  <si>
    <t>Observācijas gadījumu īpatsvars no kopējā gadījumu skaita uzņemšanas nodaļā (23113/23110), %</t>
  </si>
  <si>
    <t>STACIONĀRĀ VESELĪBAS APRŪPE</t>
  </si>
  <si>
    <t>Kopējais gultu dienu skaits</t>
  </si>
  <si>
    <t>Stacionārā pacienta dienas vidējā realizācijas maksa, EUR</t>
  </si>
  <si>
    <t>Stacionārā pacienta dienas vidējā pašizmaksa, EUR</t>
  </si>
  <si>
    <t>23252</t>
  </si>
  <si>
    <t>232521</t>
  </si>
  <si>
    <t>AMBULATORĀ VESELĪBAS APRŪPE</t>
  </si>
  <si>
    <t>Ambulatoro apmeklējumu skaits, t.sk.</t>
  </si>
  <si>
    <t>Valsts apmaksātie ambulatorie pakalpojumi</t>
  </si>
  <si>
    <t>Maksas ambulatorie pakalpojumi</t>
  </si>
  <si>
    <t>SOCIĀLĀ REHABILITĀCIJA</t>
  </si>
  <si>
    <t>SOCIĀlĀ APRŪPE</t>
  </si>
  <si>
    <t>PERSONĀLA RĀDĪTĀJI</t>
  </si>
  <si>
    <t>26500</t>
  </si>
  <si>
    <t>Citi personāla rādītāji</t>
  </si>
  <si>
    <t>26510</t>
  </si>
  <si>
    <t>Darbinieku mainība,%</t>
  </si>
  <si>
    <t>26520</t>
  </si>
  <si>
    <t>Vidējais nostrādāto virsstundu skaits uz vienu ārtsniecības personu, kas attiecīgā periodā veic virsstundu darbu</t>
  </si>
  <si>
    <t>26530</t>
  </si>
  <si>
    <t>26540</t>
  </si>
  <si>
    <t>Strādājošo 25-40 gadus veco ārstniecības personu īpatsvars no kopējā ārstniecības personu skaita,%</t>
  </si>
  <si>
    <t>PĀRĒJIE RĀDĪTĀJI</t>
  </si>
  <si>
    <t>28000</t>
  </si>
  <si>
    <t>MEDIKAMENTI UN MEDICĪNAS PRECES</t>
  </si>
  <si>
    <t>28100</t>
  </si>
  <si>
    <t xml:space="preserve">projektu vadītājiem, departamentu direktoriem un to vietniekiem, tehniskajam direktoram, kā arī sekojošām struktūrvienībām: komunikācijas, personāla vadības, finanšu, </t>
  </si>
  <si>
    <r>
      <t xml:space="preserve">Klienta dienas vidējā realizācijas maksa, </t>
    </r>
    <r>
      <rPr>
        <i/>
        <sz val="14"/>
        <rFont val="Times New Roman"/>
        <family val="1"/>
      </rPr>
      <t>euro</t>
    </r>
  </si>
  <si>
    <r>
      <t xml:space="preserve">Klienta dienas vidējā pašizmaksa, </t>
    </r>
    <r>
      <rPr>
        <i/>
        <sz val="14"/>
        <rFont val="Times New Roman"/>
        <family val="1"/>
      </rPr>
      <t>euro</t>
    </r>
  </si>
  <si>
    <r>
      <t xml:space="preserve">Vidējais sociālās aprūpes ilgums, </t>
    </r>
    <r>
      <rPr>
        <i/>
        <sz val="14"/>
        <rFont val="Times New Roman"/>
        <family val="1"/>
      </rPr>
      <t xml:space="preserve">dienas </t>
    </r>
  </si>
  <si>
    <r>
      <t>Ārsti</t>
    </r>
    <r>
      <rPr>
        <vertAlign val="superscript"/>
        <sz val="14"/>
        <rFont val="Times New Roman"/>
        <family val="1"/>
      </rPr>
      <t>3</t>
    </r>
  </si>
  <si>
    <r>
      <t>Ārstniecības un pacientu aprūpes personāls</t>
    </r>
    <r>
      <rPr>
        <vertAlign val="superscript"/>
        <sz val="14"/>
        <rFont val="Times New Roman"/>
        <family val="1"/>
      </rPr>
      <t>4</t>
    </r>
  </si>
  <si>
    <r>
      <t>Ārstniecības un pacientu aprūpes atbalsta personāls</t>
    </r>
    <r>
      <rPr>
        <vertAlign val="superscript"/>
        <sz val="14"/>
        <rFont val="Times New Roman"/>
        <family val="1"/>
      </rPr>
      <t>5</t>
    </r>
  </si>
  <si>
    <r>
      <t>Administrācija</t>
    </r>
    <r>
      <rPr>
        <vertAlign val="superscript"/>
        <sz val="14"/>
        <rFont val="Times New Roman"/>
        <family val="1"/>
      </rPr>
      <t>6</t>
    </r>
  </si>
  <si>
    <r>
      <t>Pārējais personāls (t.sk. sanitāri)</t>
    </r>
    <r>
      <rPr>
        <vertAlign val="superscript"/>
        <sz val="14"/>
        <rFont val="Times New Roman"/>
        <family val="1"/>
      </rPr>
      <t>7</t>
    </r>
  </si>
  <si>
    <r>
      <t xml:space="preserve">Darbinieku </t>
    </r>
    <r>
      <rPr>
        <b/>
        <u/>
        <sz val="14"/>
        <rFont val="Times New Roman"/>
        <family val="1"/>
      </rPr>
      <t xml:space="preserve">vidējie </t>
    </r>
    <r>
      <rPr>
        <b/>
        <sz val="14"/>
        <rFont val="Times New Roman"/>
        <family val="1"/>
      </rPr>
      <t xml:space="preserve">ienākumi mēnesī: </t>
    </r>
  </si>
  <si>
    <r>
      <t>Kopējā slimnīcas telpu platība  (m</t>
    </r>
    <r>
      <rPr>
        <vertAlign val="superscript"/>
        <sz val="14"/>
        <rFont val="Times New Roman"/>
        <family val="1"/>
      </rPr>
      <t>2</t>
    </r>
    <r>
      <rPr>
        <sz val="14"/>
        <rFont val="Times New Roman"/>
        <family val="1"/>
      </rPr>
      <t>), t.sk.:</t>
    </r>
  </si>
  <si>
    <r>
      <t>Ūdens patēriņš  ( m</t>
    </r>
    <r>
      <rPr>
        <vertAlign val="superscript"/>
        <sz val="14"/>
        <rFont val="Times New Roman"/>
        <family val="1"/>
      </rPr>
      <t>3</t>
    </r>
    <r>
      <rPr>
        <sz val="14"/>
        <rFont val="Times New Roman"/>
        <family val="1"/>
      </rPr>
      <t>)</t>
    </r>
  </si>
  <si>
    <r>
      <t>Kanalizācija  (m</t>
    </r>
    <r>
      <rPr>
        <vertAlign val="superscript"/>
        <sz val="14"/>
        <rFont val="Times New Roman"/>
        <family val="1"/>
      </rPr>
      <t>3</t>
    </r>
    <r>
      <rPr>
        <sz val="14"/>
        <rFont val="Times New Roman"/>
        <family val="1"/>
      </rPr>
      <t>)</t>
    </r>
  </si>
  <si>
    <r>
      <t>Stacionāro pakalpojumu sniegšanai izmantotie medikamenti uz gultas dienu</t>
    </r>
    <r>
      <rPr>
        <vertAlign val="superscript"/>
        <sz val="14"/>
        <rFont val="Times New Roman"/>
        <family val="1"/>
      </rPr>
      <t>8</t>
    </r>
  </si>
  <si>
    <r>
      <rPr>
        <vertAlign val="superscript"/>
        <sz val="14"/>
        <rFont val="Times New Roman"/>
        <family val="1"/>
      </rPr>
      <t>1</t>
    </r>
    <r>
      <rPr>
        <sz val="14"/>
        <rFont val="Times New Roman"/>
        <family val="1"/>
      </rPr>
      <t>- ar jēdzienu "vidējais" saprotams rādītāja vērtība katra mēneša pēdējā datumā un summu dalot ar mēnešu skaitu pārskata periodā</t>
    </r>
  </si>
  <si>
    <r>
      <rPr>
        <vertAlign val="superscript"/>
        <sz val="14"/>
        <rFont val="Times New Roman"/>
        <family val="1"/>
      </rPr>
      <t>2</t>
    </r>
    <r>
      <rPr>
        <sz val="14"/>
        <rFont val="Times New Roman"/>
        <family val="1"/>
      </rPr>
      <t>- hospitalizāciju skaits, bez fiktīvās izrakstīšanās (kustība 39) attiecīgā perioda ietvaros</t>
    </r>
  </si>
  <si>
    <r>
      <rPr>
        <vertAlign val="superscript"/>
        <sz val="14"/>
        <rFont val="Times New Roman"/>
        <family val="1"/>
      </rPr>
      <t>3</t>
    </r>
    <r>
      <rPr>
        <sz val="14"/>
        <rFont val="Times New Roman"/>
        <family val="1"/>
      </rPr>
      <t>- sertificēti  ārsti, zobārsti un funkcionālie speciālisti, reģistrēti ārsti, zobārsti un funkcionālie speciālisti, rezidenti</t>
    </r>
  </si>
  <si>
    <r>
      <rPr>
        <vertAlign val="superscript"/>
        <sz val="14"/>
        <rFont val="Times New Roman"/>
        <family val="1"/>
      </rPr>
      <t>4</t>
    </r>
    <r>
      <rPr>
        <sz val="14"/>
        <rFont val="Times New Roman"/>
        <family val="1"/>
      </rPr>
      <t>-sertificēti/reģistrēti ārsta palīgi, māsas, vecmātes, biomedicīnas laboranti, radiologa asistenti, radiogrāferi, sertificēti masieri, ergoterapeita asistenti, fizioterapeita asistenti, zobu higiēnisti, zobārstniecības māsas, podologi, zobu tehniķi</t>
    </r>
  </si>
  <si>
    <r>
      <rPr>
        <vertAlign val="superscript"/>
        <sz val="14"/>
        <rFont val="Times New Roman"/>
        <family val="1"/>
      </rPr>
      <t>5</t>
    </r>
    <r>
      <rPr>
        <sz val="14"/>
        <rFont val="Times New Roman"/>
        <family val="1"/>
      </rPr>
      <t>- māsu palīgi, zobārsta asistenti</t>
    </r>
  </si>
  <si>
    <r>
      <rPr>
        <vertAlign val="superscript"/>
        <sz val="14"/>
        <rFont val="Times New Roman"/>
        <family val="1"/>
      </rPr>
      <t>6</t>
    </r>
    <r>
      <rPr>
        <sz val="14"/>
        <rFont val="Times New Roman"/>
        <family val="1"/>
      </rPr>
      <t>- valde, padome, valdes/padomes birojs, ārstniecības personām, kuras tiešā veidā nav saistītas ar pacientu ārstēšanu -  klīniku vadītājiem, virsārstiem, profila virsārstiem, vecākajiem ārstiem, galvenajām māsām, ārstiem koordinatoriem u.c</t>
    </r>
  </si>
  <si>
    <r>
      <rPr>
        <vertAlign val="superscript"/>
        <sz val="14"/>
        <rFont val="Times New Roman"/>
        <family val="1"/>
      </rPr>
      <t>7</t>
    </r>
    <r>
      <rPr>
        <sz val="14"/>
        <rFont val="Times New Roman"/>
        <family val="1"/>
      </rPr>
      <t>- Saimnieciskais personāls, ārstniecības un aprūpes procesu atbalsta personāls (t.sk. sanitāri)</t>
    </r>
  </si>
  <si>
    <r>
      <rPr>
        <vertAlign val="superscript"/>
        <sz val="14"/>
        <rFont val="Times New Roman"/>
        <family val="1"/>
      </rPr>
      <t>8</t>
    </r>
    <r>
      <rPr>
        <sz val="14"/>
        <rFont val="Times New Roman"/>
        <family val="1"/>
      </rPr>
      <t>- Medikamenti, medicīnas preces, implanti, sterilizācijas materiāli, medicīnas instrumenti, laboratorijas preces stacionāro pakalpojumu nodrošināšanai (bez bezmaksas medikamnetiem un med. Precēm)/ Stacionāra gultu dienu skaits</t>
    </r>
  </si>
  <si>
    <t>Kopējais stacionēto pacientu īpatsvars  no kopējā gadījumu skaita uzņemšanas nodaļā, % (23212/23110)</t>
  </si>
  <si>
    <t>Vidējais gultu noslogojums diennakts stacionārā, %</t>
  </si>
  <si>
    <t>Vidējais gultu noslogojums dienas stacionārā, %</t>
  </si>
  <si>
    <t>16 Izdevumi kapitālajiem ieguldījumiem nomātajos pamatlīdzekļos</t>
  </si>
  <si>
    <t>2 Attīstības pasākumu un programmu izmaksas un izdevumus, ja zināms, ka projektu pabeigs un no projekta rezultātiem budžeta iestāde turpmāk gūs labumu. Attīstības pasākumi un programmas ir pētniecības, atklājumu vai citu zināšanu izmantošana jaunu (vai būtiski uzlabotu) materiālu, ierīču, produktu, procesu, sistēmu vai pakalpojumu ražošanas plānā vai izstrādē pirms komerciālas ražošanas vai izmantošanas uzsākšanas. Šo kodu piemēro arī tehniskajām izstrādēm, kas sagatavo pētniecības rezultātu līdz izmēģinājuma paraugam</t>
  </si>
  <si>
    <t>3 Izdevumi datorprogrammām un to licencēm</t>
  </si>
  <si>
    <t>4 Izdevumi pārējiem iepriekš neklasificētiem nemateriāliem aktīviem</t>
  </si>
  <si>
    <t>5 Izdevumi nedzīvojamām ēkām, kuras izmanto pašu vajadzībām, kā arī izīrējamām un iznomājamām nedzīvojamām ēkām. Nedzīvojamās ēkas ir ēkas, kuras netiek izmantotas vai nav paredzētas dzīvošanai, ieskaitot aprīkojumu, ierīces un iekārtas, kas ir ēku neatņemama sastāvdaļa.</t>
  </si>
  <si>
    <t>6 Izdevumi zemes iegādei, uz kuras uzbūvētas ēkas vai to pamati. Piemēro arī pagalmu, dārzu teritoriju un to iebrauktuvju (ko uzskata par mājas neatdalāmu sastāvdaļu) iegādes izmaksām.</t>
  </si>
  <si>
    <t>7 Izdevumi pārējās iepriekš neklasificētās zemes (karjeri, kapu teritorijas, meža zemes) iegādei</t>
  </si>
  <si>
    <t>8 Izdevumi celtnēm, būvēm, izbūvēm, ieskaitot aprīkojumu, ierīces un iekārtas, kas ir celtņu un būvju neatņemama sastāvdaļa (ūdens uzkrāšanas būves, meliorācijas sistēmas, sakaru un elektropārvades līnijas, cauruļvadus, ūdensvadu, siltumtrašu, kanalizācijas tīklus, sporta, atpūtas būves un citas būves un celtnes).</t>
  </si>
  <si>
    <t>9 Izdevumi pārējā iepriekš neklasificētā nekustamā īpašuma iegādei</t>
  </si>
  <si>
    <t>10 Izdevumi nepabeigtajai būvniecībai līdz objekta nodošanai ekspluatācijā</t>
  </si>
  <si>
    <t>11 Izdevumi iekārtām un mašīnām, ko izmanto budžeta iestādes pašas vajadzībām tās funkciju vai pakalpojumu izpildes nodrošināšanai (iekārtas, mēraparatūra, regulēšanas ierīces, laboratoriju un medicīnas iekārtas)</t>
  </si>
  <si>
    <t>12 Izdevumi tādiem pamatlīdzekļiem kā automobiļi, motocikli, velosipēdi, piekabes, puspiekabes, dzelzceļa lokomotīves un citi transportlīdzekļi</t>
  </si>
  <si>
    <t>13 Izdevumi tādiem pamatlīdzekļiem kā kancelejas mēbeles, ledusskapji, televizori, mikroviļņu krāsnis, lustras un pārējā telpu iekārta. Kodā uzskaita tos pamatlīdzekļus, kurus izmanto iestādes saimnieciskās darbības nodrošināšanai</t>
  </si>
  <si>
    <t>14 Izdevumiem tādiem ilgtermiņa aktīviem kā datori, serveri, kopētāji, faksa aparāti, telefoni, telefonu centrāles un cita biroja tehnika</t>
  </si>
  <si>
    <t>15 Izdvumi citu iepriekš neklasificētu pamatlīdzekļu iegādei un izdevumu atzīšanā</t>
  </si>
  <si>
    <r>
      <t xml:space="preserve">Attīstības pasākumi un programmas </t>
    </r>
    <r>
      <rPr>
        <vertAlign val="superscript"/>
        <sz val="14"/>
        <rFont val="Times New Roman"/>
        <family val="1"/>
      </rPr>
      <t xml:space="preserve">2 </t>
    </r>
    <r>
      <rPr>
        <sz val="14"/>
        <rFont val="Times New Roman"/>
        <family val="1"/>
      </rPr>
      <t xml:space="preserve"> t.sk.:</t>
    </r>
  </si>
  <si>
    <r>
      <t xml:space="preserve">Datorprogrammas </t>
    </r>
    <r>
      <rPr>
        <vertAlign val="superscript"/>
        <sz val="14"/>
        <rFont val="Times New Roman"/>
        <family val="1"/>
      </rPr>
      <t xml:space="preserve">3 </t>
    </r>
    <r>
      <rPr>
        <sz val="14"/>
        <rFont val="Times New Roman"/>
        <family val="1"/>
      </rPr>
      <t xml:space="preserve"> t.sk.:</t>
    </r>
  </si>
  <si>
    <r>
      <t xml:space="preserve">Pārējie nemateriālie ieguldījumi </t>
    </r>
    <r>
      <rPr>
        <vertAlign val="superscript"/>
        <sz val="14"/>
        <rFont val="Times New Roman"/>
        <family val="1"/>
      </rPr>
      <t>4</t>
    </r>
    <r>
      <rPr>
        <sz val="14"/>
        <rFont val="Times New Roman"/>
        <family val="1"/>
      </rPr>
      <t xml:space="preserve">  t.sk.:</t>
    </r>
  </si>
  <si>
    <r>
      <t xml:space="preserve">Nedzīvojamās ēkas </t>
    </r>
    <r>
      <rPr>
        <vertAlign val="superscript"/>
        <sz val="14"/>
        <rFont val="Times New Roman"/>
        <family val="1"/>
      </rPr>
      <t>5</t>
    </r>
  </si>
  <si>
    <r>
      <t xml:space="preserve">Zeme zem ēkām un būvēm </t>
    </r>
    <r>
      <rPr>
        <vertAlign val="superscript"/>
        <sz val="14"/>
        <rFont val="Times New Roman"/>
        <family val="1"/>
      </rPr>
      <t>6</t>
    </r>
  </si>
  <si>
    <r>
      <t xml:space="preserve">Pārējā zeme </t>
    </r>
    <r>
      <rPr>
        <vertAlign val="superscript"/>
        <sz val="14"/>
        <rFont val="Times New Roman"/>
        <family val="1"/>
      </rPr>
      <t>7</t>
    </r>
  </si>
  <si>
    <r>
      <t xml:space="preserve">Celtnes un būves </t>
    </r>
    <r>
      <rPr>
        <vertAlign val="superscript"/>
        <sz val="14"/>
        <rFont val="Times New Roman"/>
        <family val="1"/>
      </rPr>
      <t>8</t>
    </r>
  </si>
  <si>
    <r>
      <t xml:space="preserve">Pārējais nekustamais īpašums </t>
    </r>
    <r>
      <rPr>
        <vertAlign val="superscript"/>
        <sz val="14"/>
        <rFont val="Times New Roman"/>
        <family val="1"/>
      </rPr>
      <t>9</t>
    </r>
  </si>
  <si>
    <r>
      <t xml:space="preserve">Nepabeigtā būvniecība </t>
    </r>
    <r>
      <rPr>
        <vertAlign val="superscript"/>
        <sz val="14"/>
        <rFont val="Times New Roman"/>
        <family val="1"/>
      </rPr>
      <t>10</t>
    </r>
  </si>
  <si>
    <r>
      <t xml:space="preserve">Tehnoloģiskās iekārtas un mašīnas </t>
    </r>
    <r>
      <rPr>
        <vertAlign val="superscript"/>
        <sz val="14"/>
        <rFont val="Times New Roman"/>
        <family val="1"/>
      </rPr>
      <t xml:space="preserve">11 </t>
    </r>
    <r>
      <rPr>
        <sz val="14"/>
        <rFont val="Times New Roman"/>
        <family val="1"/>
      </rPr>
      <t xml:space="preserve"> t.sk.:</t>
    </r>
  </si>
  <si>
    <r>
      <t xml:space="preserve">Transportlīdzekļi </t>
    </r>
    <r>
      <rPr>
        <vertAlign val="superscript"/>
        <sz val="14"/>
        <rFont val="Times New Roman"/>
        <family val="1"/>
      </rPr>
      <t xml:space="preserve">12 </t>
    </r>
    <r>
      <rPr>
        <sz val="14"/>
        <rFont val="Times New Roman"/>
        <family val="1"/>
      </rPr>
      <t xml:space="preserve"> t.sk.:</t>
    </r>
  </si>
  <si>
    <r>
      <t xml:space="preserve">Saimniecības pamatlīdzekļi </t>
    </r>
    <r>
      <rPr>
        <vertAlign val="superscript"/>
        <sz val="14"/>
        <rFont val="Times New Roman"/>
        <family val="1"/>
      </rPr>
      <t>13</t>
    </r>
    <r>
      <rPr>
        <sz val="14"/>
        <rFont val="Times New Roman"/>
        <family val="1"/>
      </rPr>
      <t xml:space="preserve">  t.sk.:</t>
    </r>
  </si>
  <si>
    <r>
      <t xml:space="preserve">Datortehnika, sakaru un cita biroja tehnika </t>
    </r>
    <r>
      <rPr>
        <vertAlign val="superscript"/>
        <sz val="14"/>
        <rFont val="Times New Roman"/>
        <family val="1"/>
      </rPr>
      <t>14</t>
    </r>
    <r>
      <rPr>
        <sz val="14"/>
        <rFont val="Times New Roman"/>
        <family val="1"/>
      </rPr>
      <t xml:space="preserve"> t.sk.:</t>
    </r>
  </si>
  <si>
    <r>
      <t xml:space="preserve">Pārējie iepriekš neklasificētie pamatlīdzekļi </t>
    </r>
    <r>
      <rPr>
        <vertAlign val="superscript"/>
        <sz val="14"/>
        <rFont val="Times New Roman"/>
        <family val="1"/>
      </rPr>
      <t xml:space="preserve">15 </t>
    </r>
    <r>
      <rPr>
        <sz val="14"/>
        <rFont val="Times New Roman"/>
        <family val="1"/>
      </rPr>
      <t xml:space="preserve"> t.sk.:</t>
    </r>
  </si>
  <si>
    <r>
      <t xml:space="preserve">Ilgtermiņa ieguldījumi nomātajos pamatlīdzekļos </t>
    </r>
    <r>
      <rPr>
        <vertAlign val="superscript"/>
        <sz val="14"/>
        <rFont val="Times New Roman"/>
        <family val="1"/>
      </rPr>
      <t>16</t>
    </r>
    <r>
      <rPr>
        <sz val="14"/>
        <rFont val="Times New Roman"/>
        <family val="1"/>
      </rPr>
      <t xml:space="preserve"> t.sk.:</t>
    </r>
  </si>
  <si>
    <r>
      <t xml:space="preserve">Ieguldījumu pozīcija </t>
    </r>
    <r>
      <rPr>
        <vertAlign val="superscript"/>
        <sz val="14"/>
        <rFont val="Times New Roman"/>
        <family val="1"/>
      </rPr>
      <t>1</t>
    </r>
  </si>
  <si>
    <t>no ESF (Eiropas Struktūrfondi) līdzekļiem (sadalījumā pa projektiem), t.sk.</t>
  </si>
  <si>
    <t>no VGA (Valsts galvotais aizdevums) līdzekļiem (sadalījumā pa projektiem), t.sk.</t>
  </si>
  <si>
    <t>no Valsts budžeta līdzekļiem (sadalījumā pa pasākumiem/projektiem), t.sk.</t>
  </si>
  <si>
    <t>no pašu līdzekļiem (sadalījumā pa pasākumiem/projektiem), t.sk.</t>
  </si>
  <si>
    <t>no citiem līdzekļiem (sadalījumā pa pasākumiem/projektiem), t.sk.</t>
  </si>
  <si>
    <t>no ESF (Eiropas Struktūrfondi) līdzekļiem  (sadalījumā pa projektiem), t.sk.</t>
  </si>
  <si>
    <r>
      <t xml:space="preserve">Dotācija no pašvaldības budžeta kopā </t>
    </r>
    <r>
      <rPr>
        <i/>
        <sz val="14"/>
        <rFont val="Times New Roman"/>
        <family val="1"/>
      </rPr>
      <t>(sadalījumā pa projektiem un/vai finansējuma mērķiem), t.sk.</t>
    </r>
  </si>
  <si>
    <r>
      <t xml:space="preserve">Valsts budžeta līdzekļi kopā </t>
    </r>
    <r>
      <rPr>
        <i/>
        <sz val="14"/>
        <rFont val="Times New Roman"/>
        <family val="1"/>
      </rPr>
      <t>(sadalījumā pa projektiem un/vai finansējuma mērķiem), t.sk.</t>
    </r>
  </si>
  <si>
    <r>
      <t xml:space="preserve">Citi līdzekļi kopā </t>
    </r>
    <r>
      <rPr>
        <i/>
        <sz val="14"/>
        <rFont val="Times New Roman"/>
        <family val="1"/>
      </rPr>
      <t>(sadalījumā pa projektiem un/vai finansējuma mērķiem), t.sk.</t>
    </r>
  </si>
  <si>
    <r>
      <t xml:space="preserve">Ziedojumi </t>
    </r>
    <r>
      <rPr>
        <i/>
        <sz val="14"/>
        <rFont val="Times New Roman"/>
        <family val="1"/>
      </rPr>
      <t>(sadalījumā pa projektiem un/vai finansējuma mērķiem), t.sk.</t>
    </r>
  </si>
  <si>
    <t>1 Aizpildot naudas plūsmas plānu pamatlīdzekļiem un nemateriāliem ieguldījumiem līdzīgie pamatlīdzekļi  pēc nomenklatūras  jāapvieno grupās, norādot iepērkamo pamatlīdzekļu daudzumu</t>
  </si>
  <si>
    <t>1 Aizpildot ieguldījumu tāmi līdzīgie pēc nomenklatūras pamatlīdzekļi un nemateriālie ieguldījumi jāapvieno grupās, norādot iepērkamo pamatlīdzekļu daudzumu</t>
  </si>
  <si>
    <t>Ārstniecības personu īpatsvars, kas veic virsstundu darbu, no kopējā ārtsniecības personu skaita, %</t>
  </si>
  <si>
    <r>
      <rPr>
        <vertAlign val="superscript"/>
        <sz val="14"/>
        <rFont val="Times New Roman"/>
        <family val="1"/>
      </rPr>
      <t xml:space="preserve">9 </t>
    </r>
    <r>
      <rPr>
        <sz val="14"/>
        <rFont val="Times New Roman"/>
        <family val="1"/>
      </rPr>
      <t>- rehospitalizāciju skaitā ieskaita pacientus, kas izrakstīti uz mājām (izrakstīšanās kustība 31) un kas atkārtoti hospitalizēti tajā pašā vai nākamajā dienā, izņemot pacientus, kuru nākamā hospitalizācija ir aprūpe vai rehabilitācija</t>
    </r>
  </si>
  <si>
    <r>
      <rPr>
        <vertAlign val="superscript"/>
        <sz val="14"/>
        <rFont val="Times New Roman"/>
        <family val="1"/>
      </rPr>
      <t>10</t>
    </r>
    <r>
      <rPr>
        <sz val="11"/>
        <color theme="1"/>
        <rFont val="Calibri"/>
        <family val="2"/>
        <charset val="186"/>
        <scheme val="minor"/>
      </rPr>
      <t xml:space="preserve"> </t>
    </r>
    <r>
      <rPr>
        <sz val="14"/>
        <rFont val="Times New Roman"/>
        <family val="1"/>
      </rPr>
      <t>- rehospitalizāciju skaitā ieskaita pacientus, kas atkārtoti hospitalizēti tajā pašā vai nākamajā dienā, kuru nākamā hospitalizācija ir aprūpe vai rehabilitācija (atbilstoši NVD mājas lapā publicētā</t>
    </r>
  </si>
  <si>
    <t>"Pārskats par uz mājām izrakstītiem pacientiem, kas atkārtoti hospitalizēti tajā pašā vai nākamajā dienā" izslēgšanas kritērijos GPF kodam</t>
  </si>
  <si>
    <r>
      <rPr>
        <vertAlign val="superscript"/>
        <sz val="14"/>
        <rFont val="Times New Roman"/>
        <family val="1"/>
      </rPr>
      <t>11</t>
    </r>
    <r>
      <rPr>
        <sz val="14"/>
        <rFont val="Times New Roman"/>
        <family val="1"/>
      </rPr>
      <t>- atbilstoši NVD mājas lapā publocētajam "Valsts apmaksājamo manipulāciju un to apmaksas nosacījumu saraksts" Lielo ķirurģisko operāciju klasifikatoram (10.kolonna)</t>
    </r>
  </si>
  <si>
    <t>27200</t>
  </si>
  <si>
    <t>27110</t>
  </si>
  <si>
    <t>27300</t>
  </si>
  <si>
    <t>VEIDLAPAS AIZPILDĪŠANAS METODISKIE NORĀDĪJUMI</t>
  </si>
  <si>
    <t>N.p.k.</t>
  </si>
  <si>
    <t>t.sk. summa,
 kurai iestājies
 maks.termiņš</t>
  </si>
  <si>
    <t>Mazāk par 30 dienām kavētie maksājumi</t>
  </si>
  <si>
    <t>30 un vairāk dienas kavētie maksājumi</t>
  </si>
  <si>
    <t>Paskaidrojums</t>
  </si>
  <si>
    <t>1.</t>
  </si>
  <si>
    <t>1.2.</t>
  </si>
  <si>
    <t>1.2.1.</t>
  </si>
  <si>
    <t>…</t>
  </si>
  <si>
    <t>1.2.2.</t>
  </si>
  <si>
    <t>utt.</t>
  </si>
  <si>
    <t>1.3.</t>
  </si>
  <si>
    <t>1.3.1.</t>
  </si>
  <si>
    <t>1.3.2.</t>
  </si>
  <si>
    <t>1.4.</t>
  </si>
  <si>
    <t>1.4.1.</t>
  </si>
  <si>
    <t>1.4.2.</t>
  </si>
  <si>
    <t>1.5.</t>
  </si>
  <si>
    <t>1.5.1.</t>
  </si>
  <si>
    <t>1.5.2.</t>
  </si>
  <si>
    <t>1.6.</t>
  </si>
  <si>
    <t>1.6.1.</t>
  </si>
  <si>
    <t>1.6.2.</t>
  </si>
  <si>
    <t>2.</t>
  </si>
  <si>
    <t>2.1.</t>
  </si>
  <si>
    <t>2.1.1.</t>
  </si>
  <si>
    <t>2.1.2.</t>
  </si>
  <si>
    <t>2.2.</t>
  </si>
  <si>
    <t>2.2.1.</t>
  </si>
  <si>
    <t>2.2.2.</t>
  </si>
  <si>
    <t>2.3.</t>
  </si>
  <si>
    <t>2.3.1.</t>
  </si>
  <si>
    <t>2.3.2.</t>
  </si>
  <si>
    <t>2.4.</t>
  </si>
  <si>
    <t>2.4.1.</t>
  </si>
  <si>
    <t>2.5.</t>
  </si>
  <si>
    <t>2.5.1.</t>
  </si>
  <si>
    <t>2.5.2.</t>
  </si>
  <si>
    <t>2.6.</t>
  </si>
  <si>
    <t>2.6.1.</t>
  </si>
  <si>
    <t>2.6.2.</t>
  </si>
  <si>
    <t>2.7.</t>
  </si>
  <si>
    <t>2.7.1.</t>
  </si>
  <si>
    <t>2.7.2.</t>
  </si>
  <si>
    <t>2.8.</t>
  </si>
  <si>
    <t>2.8.1.</t>
  </si>
  <si>
    <t>2.8.2.</t>
  </si>
  <si>
    <t>Pārējie debitori</t>
  </si>
  <si>
    <t xml:space="preserve">Pozīcijas nosaukums   </t>
  </si>
  <si>
    <t>1.1.</t>
  </si>
  <si>
    <t>3.</t>
  </si>
  <si>
    <t>4.</t>
  </si>
  <si>
    <t>4.1.</t>
  </si>
  <si>
    <t>4.2.</t>
  </si>
  <si>
    <t>5.</t>
  </si>
  <si>
    <t>5.1.</t>
  </si>
  <si>
    <t>5.2.</t>
  </si>
  <si>
    <t>6.</t>
  </si>
  <si>
    <t xml:space="preserve">  Skaidrojumi par novirzēm ir jāsniedz  sekojošiem budžeta ieņēmumu un izdevumu kodiem: 00110, 00120, 00130, 00140, 00150, 0020, 0030, 0040, 0050, 0060, 0070, 0080, 1110, 1140, 1150, 1170, 1210, 1220, 2110, 2120, 2210, 2220, 2230, 2240, 2250, 2260, 2270, 2280, 2310, 2320, 2330, 2341, 2343, 2344, 2350, 2360, 2370, 2380, 2390, 2510, 2520, 2800, 4100, 4200, 4300, 5100, 5200, 0100, 8000.</t>
  </si>
  <si>
    <t xml:space="preserve">  Skaidrojumi par novirzēm ir jāsniedz  sekojošiem Bilances posteņu kodiem: 45100, 45200, 45320, 46000, 47100, 47200, 49100, 49200, 49300, 50100, 50200, 50300.</t>
  </si>
  <si>
    <r>
      <rPr>
        <vertAlign val="superscript"/>
        <sz val="14"/>
        <rFont val="Times New Roman"/>
        <family val="1"/>
      </rPr>
      <t xml:space="preserve">2 </t>
    </r>
    <r>
      <rPr>
        <sz val="14"/>
        <rFont val="Times New Roman"/>
        <family val="1"/>
      </rPr>
      <t>Detalizēti skaidrojumi par faktisko Bilances posteņu noviržu iemesliem periodā no n gada sākuma līdz pārskata ceturkšņa beigām, kā arī par to izmaiņām, salīdzinot ar n-1 gada attiecīgo periodu, gadījumos, ja novirze faktisko Bilances posteņos ir virs 5%.</t>
    </r>
  </si>
  <si>
    <r>
      <rPr>
        <vertAlign val="superscript"/>
        <sz val="14"/>
        <rFont val="Times New Roman"/>
        <family val="1"/>
      </rPr>
      <t xml:space="preserve">2 </t>
    </r>
    <r>
      <rPr>
        <sz val="14"/>
        <rFont val="Times New Roman"/>
        <family val="1"/>
      </rPr>
      <t>Detalizēti skaidrojumi par faktisko Naudas plūsmas pozīciju noviržu iemesliem periodā no n gada sākuma līdz pārskata ceturkšņa beigām, kā arī par to izmaiņām, salīdzinot ar n-1 gada attiecīgo periodu, gadījumos, ja novirze faktisko Naudas plūsmas pozīcijās ir virs 5%.</t>
    </r>
  </si>
  <si>
    <r>
      <t>Skaidrojumi</t>
    </r>
    <r>
      <rPr>
        <vertAlign val="superscript"/>
        <sz val="14"/>
        <rFont val="Times New Roman"/>
        <family val="1"/>
      </rPr>
      <t>12</t>
    </r>
  </si>
  <si>
    <r>
      <rPr>
        <vertAlign val="superscript"/>
        <sz val="14"/>
        <rFont val="Times New Roman"/>
        <family val="1"/>
      </rPr>
      <t xml:space="preserve">12 </t>
    </r>
    <r>
      <rPr>
        <sz val="14"/>
        <rFont val="Times New Roman"/>
        <family val="1"/>
      </rPr>
      <t xml:space="preserve">Detalizēti skaidrojumi par Naturālo rādītāju noviržu iemesliem periodā no </t>
    </r>
    <r>
      <rPr>
        <i/>
        <sz val="14"/>
        <rFont val="Times New Roman"/>
        <family val="1"/>
      </rPr>
      <t>n</t>
    </r>
    <r>
      <rPr>
        <sz val="14"/>
        <rFont val="Times New Roman"/>
        <family val="1"/>
      </rPr>
      <t xml:space="preserve"> gada sākuma līdz pārskata ceturkšņa beigām, kā arī par to izmaiņām, salīdzinot ar </t>
    </r>
    <r>
      <rPr>
        <i/>
        <sz val="14"/>
        <rFont val="Times New Roman"/>
        <family val="1"/>
      </rPr>
      <t>n-1</t>
    </r>
    <r>
      <rPr>
        <sz val="14"/>
        <rFont val="Times New Roman"/>
        <family val="1"/>
      </rPr>
      <t xml:space="preserve"> gada attiecīgo periodu, gadījumos, ja novirze Naturālajos rādītājos ir virs 10%.</t>
    </r>
  </si>
  <si>
    <t>Instrumentu piegāde spinālajām operācijām</t>
  </si>
  <si>
    <t>EKK tiek grāmatoti Valsts Asinsdonoru centra  Bezmaksas asins preperāti un SIA ORIOLA medikamenti, ko apmaksā Nacionālais veselības dienests.</t>
  </si>
  <si>
    <t>Samazinājies stacionāro pacientu skaits</t>
  </si>
  <si>
    <t>Samazinājies ambulatoro pacientu skaits</t>
  </si>
  <si>
    <t>samazinājies stacionāro pakalpojumu apjoms</t>
  </si>
  <si>
    <t>No Veselības norēķinu centra saņemtā investīciju nauda</t>
  </si>
  <si>
    <t xml:space="preserve">No ERAF saņemtā investīcija  (3DP/3.1.5.3.1/11/IPIA/VEC/013) </t>
  </si>
  <si>
    <t xml:space="preserve">No ERAF saņemtā investīcija  (3DP/3.1.5.3.1/10/IPIA/VEC/017) </t>
  </si>
  <si>
    <r>
      <t>No ERAF saņemtā investīcija  (9.3.2.0/17/I/002)</t>
    </r>
    <r>
      <rPr>
        <vertAlign val="superscript"/>
        <sz val="10"/>
        <rFont val="Times New Roman"/>
        <family val="1"/>
      </rPr>
      <t xml:space="preserve"> </t>
    </r>
  </si>
  <si>
    <t xml:space="preserve">No NVD projekta līguma Nr. 1936 </t>
  </si>
  <si>
    <t xml:space="preserve">No NVD projekta līguma Nr. 2550 </t>
  </si>
  <si>
    <t xml:space="preserve">No NVD projekta līguma Nr. 1874 </t>
  </si>
  <si>
    <r>
      <t>No pircējiem saņemtie avansi</t>
    </r>
    <r>
      <rPr>
        <i/>
        <sz val="10"/>
        <rFont val="Times New Roman"/>
        <family val="1"/>
      </rPr>
      <t xml:space="preserve"> (jānorāda 5 lielākos kreditorus, visus kavētos maksājumus un pārējo kreditoru kopsummu un kreditoru skaitu)</t>
    </r>
  </si>
  <si>
    <r>
      <t xml:space="preserve">Parādi piegādātājiem un darbuzņēmējiem </t>
    </r>
    <r>
      <rPr>
        <i/>
        <sz val="10"/>
        <rFont val="Times New Roman"/>
        <family val="1"/>
      </rPr>
      <t>(jānorāda 5 lielākos kreditorus, visus kavētos maksājumus un pārējo kreditoru kopsummu un kreditoru skaitu)</t>
    </r>
  </si>
  <si>
    <t>Johonson AB Latvijas filiāle SIA</t>
  </si>
  <si>
    <t>Sociālās nodrošināšanas iemaksas</t>
  </si>
  <si>
    <t>Iedzīvotāju ienākuma nodoklis</t>
  </si>
  <si>
    <t>Pievienotās vērtības nodoklis</t>
  </si>
  <si>
    <t>Nekustamā īpašuma nodoklis</t>
  </si>
  <si>
    <t>Dabas resursu nodoklis</t>
  </si>
  <si>
    <t>Uzņēmējdarbības riska nodeva</t>
  </si>
  <si>
    <r>
      <t xml:space="preserve">Pārējie kreditori </t>
    </r>
    <r>
      <rPr>
        <i/>
        <sz val="10"/>
        <rFont val="Times New Roman"/>
        <family val="1"/>
      </rPr>
      <t>(jānorāda 5 lielākos kreditorus, visus kavētos maksājumus un pārējo kreditoru kopsummu un kreditoru skaitu)</t>
    </r>
  </si>
  <si>
    <t>Neizmaksātās darba algas</t>
  </si>
  <si>
    <t xml:space="preserve">Pārējie kreditori   - 4 gb                                                  </t>
  </si>
  <si>
    <t xml:space="preserve">Darbinieku neizmantotie atvaļinājumi par pārskata gadu </t>
  </si>
  <si>
    <t>Nacionālais veselības dienests</t>
  </si>
  <si>
    <t>Latvijas Universitāte</t>
  </si>
  <si>
    <t>Rīgas Stradiņa universitāte</t>
  </si>
  <si>
    <t>DPA SIA</t>
  </si>
  <si>
    <t>Visma Enterprise SIA</t>
  </si>
  <si>
    <t>HORIZON prgrammas abonēšanas maksa</t>
  </si>
  <si>
    <t>palielināta darba samaksa</t>
  </si>
  <si>
    <t>Ievērojami samazināta pacientu plūsma COVID19 ārkārtas situācijas dēļ</t>
  </si>
  <si>
    <t xml:space="preserve"> </t>
  </si>
  <si>
    <t>Ievērojami samazināts plānveida stacionāro pakalpojumu apjoms COVID19 ārkārtas situācijas dēļ</t>
  </si>
  <si>
    <t>LAGRON SIA</t>
  </si>
  <si>
    <t>Pircēju,pasūtītāju parādi (jānorāda 5 lielākos debitorus, visus kavētos maksājumus, pacientu parādu kopsummu un pārējo debitoru kopsummu un debitoru skaitu)</t>
  </si>
  <si>
    <t>Maksas medicīnas pakalpojumi</t>
  </si>
  <si>
    <t>3.1.</t>
  </si>
  <si>
    <t>Drošības naudas un maiņas naudas kasēs</t>
  </si>
  <si>
    <t>3.2.</t>
  </si>
  <si>
    <t>Nākamo periodu izmaksas (jānorāda 5 lielākos debitorus un pārējo debitoru kopsummu un debitoru skaitu)</t>
  </si>
  <si>
    <t>Uzkrātie ieņēmumi (jānorāda 5 lielākos debitorus un pārējo debitoru kopsummu un debitoru skaitu)</t>
  </si>
  <si>
    <t>Pacientu skaits periodā, kuriem sniegta neatliekamā medicīniskā palīdzība un tie novirzīti turpmākai ambulatorai ārstēšanai</t>
  </si>
  <si>
    <t>Pacientu skaits periodā, kuri stacionēti (bez observācijas)</t>
  </si>
  <si>
    <t>Pacientu skaits periodā, kuriem nodrošināts observācijas pakalpojums, t.sk.</t>
  </si>
  <si>
    <t>Vidējais1 observācijas gultu skaits</t>
  </si>
  <si>
    <t>Kopējais hospitalizācijas2 gadījumu skaits, t.sk.</t>
  </si>
  <si>
    <t>Valsts apmaksāto hospitalizācijas2 gadījumu skaits</t>
  </si>
  <si>
    <t>Plānveida hospitalizācijas2 gadījumu skaits, t.sk.:</t>
  </si>
  <si>
    <t>Valsts apmaksāto plānveida hospitalizācijas2 gadījumu skaits</t>
  </si>
  <si>
    <t>Neatliekamo hospitalizāciju2 gadījumu skaits, t.sk.:</t>
  </si>
  <si>
    <t>Valsts apmaksāto neatliekamo hospitalizācijas2 gadījumu skaits</t>
  </si>
  <si>
    <t>Atkārtoti hospitalizēto pacientu skaits, neieskaitot pacientus, kuriem nākamā hospitalizācija ir aprūpe vai rehabilitācija9</t>
  </si>
  <si>
    <t>Atkārtoti hospitalizēto pacientu skaits, kuriem nākamā hospitalizācija ir aprūpe,  rehabilitācija vai nākamais ārstēšanas posms10</t>
  </si>
  <si>
    <t>Ambultatori izdarīto operāciju skaits11, t.sk.:</t>
  </si>
  <si>
    <t>Stacionārie medicīniskie pakalpojumi</t>
  </si>
  <si>
    <t>Ambulatorie medicīniskie pakalpojumi</t>
  </si>
  <si>
    <t>Nomas pakalpojumim un rezidentu apmācība</t>
  </si>
  <si>
    <t>Licenču noma</t>
  </si>
  <si>
    <t>Opticom SIA</t>
  </si>
  <si>
    <t>Programmatūras uzturēšana un apkalpošana</t>
  </si>
  <si>
    <r>
      <t>Budžeta pozīcijas</t>
    </r>
    <r>
      <rPr>
        <vertAlign val="superscript"/>
        <sz val="12"/>
        <rFont val="Times New Roman"/>
        <family val="1"/>
      </rPr>
      <t>1</t>
    </r>
  </si>
  <si>
    <r>
      <rPr>
        <vertAlign val="superscript"/>
        <sz val="12"/>
        <rFont val="Times New Roman"/>
        <family val="1"/>
      </rPr>
      <t>1</t>
    </r>
    <r>
      <rPr>
        <sz val="12"/>
        <rFont val="Times New Roman"/>
        <family val="1"/>
      </rPr>
      <t xml:space="preserve"> Budžeta kodu klasifikācija sadaļā II " IZDEVUMI SAIMNIECISKĀS DARBĪBAS NODROŠINĀŠANAI KOPĀ" atbilst Ministru Kabineta noteikumiem 1031 Noteikumi par budžetu izdevumu klasifikāciju atbilstoši ekonomiskajām kategorijām" un jāpiemēro šo MK noteikumu skaidrojumi atbilstošiem EKK</t>
    </r>
  </si>
  <si>
    <r>
      <rPr>
        <vertAlign val="superscript"/>
        <sz val="12"/>
        <rFont val="Times New Roman"/>
        <family val="1"/>
      </rPr>
      <t xml:space="preserve">2 </t>
    </r>
    <r>
      <rPr>
        <sz val="12"/>
        <rFont val="Times New Roman"/>
        <family val="1"/>
      </rPr>
      <t xml:space="preserve">Detalizēti skaidrojumi par faktisko budžeta  ieņēmumu un izdevumu noviržu iemesliem periodā no </t>
    </r>
    <r>
      <rPr>
        <i/>
        <sz val="12"/>
        <rFont val="Times New Roman"/>
        <family val="1"/>
      </rPr>
      <t>n</t>
    </r>
    <r>
      <rPr>
        <sz val="12"/>
        <rFont val="Times New Roman"/>
        <family val="1"/>
      </rPr>
      <t xml:space="preserve"> gada sākuma līdz pārskata ceturkšņa beigām, kā arī par to izmaiņām, salīdzinot ar </t>
    </r>
    <r>
      <rPr>
        <i/>
        <sz val="12"/>
        <rFont val="Times New Roman"/>
        <family val="1"/>
      </rPr>
      <t>n-1</t>
    </r>
    <r>
      <rPr>
        <sz val="12"/>
        <rFont val="Times New Roman"/>
        <family val="1"/>
      </rPr>
      <t xml:space="preserve"> gada attiecīgo periodu, gadījumos, ja novirze faktisko budžeta ieņēmumu un izdevumu pozīcijās ir virs 5%.</t>
    </r>
  </si>
  <si>
    <t>Izpilde atkarīga no pacientu sarežģītības pakāpes</t>
  </si>
  <si>
    <t>2020.gada izpilde</t>
  </si>
  <si>
    <t>2021.gada
 12 mēn. plāns</t>
  </si>
  <si>
    <t>Novirze no 2021. gada pārskata perioda plāna, euro</t>
  </si>
  <si>
    <t>2021.gada
 plāns</t>
  </si>
  <si>
    <t>Novirze no 2021. gada pārskata perioda plāna</t>
  </si>
  <si>
    <t>Novirze no 2021. gada pārskata perioda plāna, %</t>
  </si>
  <si>
    <t>Izmaiņas, salīdzinot ar 2020. gada attiecīgā perioda izpildi, %</t>
  </si>
  <si>
    <t>Izmaiņas, salīdzinot ar 2020. gada attiecīgā perioda izpildi</t>
  </si>
  <si>
    <t>Izmaiņas, salīdzinot ar 2020. gada attiecīgā perioda izpildi, euro</t>
  </si>
  <si>
    <t>2020.gada
 izpilde</t>
  </si>
  <si>
    <t>Baktericīda lampa</t>
  </si>
  <si>
    <t>Biroja plauktu sistēma arhīva dokumentu uzglabāšanai</t>
  </si>
  <si>
    <t>Pacientu pozicionēšanas vakuuma matracis operāciju zālē</t>
  </si>
  <si>
    <t>Profesionālā veļas mazgāšanas iekārta</t>
  </si>
  <si>
    <t>Baktericīds caurplūdes gaisa recirkulators</t>
  </si>
  <si>
    <t>Rokas dinamometrs</t>
  </si>
  <si>
    <t>8 personāla gultas Traumpunktā</t>
  </si>
  <si>
    <t>1.medicīniskā kušete Traumpunktā</t>
  </si>
  <si>
    <t>1.monitors Traumpunkta pārsienamajā telpā</t>
  </si>
  <si>
    <t>Veļas plaukts Traumpunktā</t>
  </si>
  <si>
    <t>Izlietne Traumpunktā</t>
  </si>
  <si>
    <t>Pretizgulējuma matrači 3 gab.</t>
  </si>
  <si>
    <t>Pacientu mazgāšanas rati</t>
  </si>
  <si>
    <t>Pārsienamie rati 2 gab.</t>
  </si>
  <si>
    <t>Automātisko pneimatisko žņaugu komplekti ar grozu un manžetēm</t>
  </si>
  <si>
    <t>Ķirurģiskais sūknis</t>
  </si>
  <si>
    <t>Metāla ģērbtuves skapīši</t>
  </si>
  <si>
    <t xml:space="preserve">Mēbeles </t>
  </si>
  <si>
    <t>Dokumentu smalcinātājs Mikrobioloģijas un patohistoloģijas nodaļai</t>
  </si>
  <si>
    <t>Baktericīdā lampa</t>
  </si>
  <si>
    <t>Mikroskops</t>
  </si>
  <si>
    <t>Vortekss</t>
  </si>
  <si>
    <t>Ūdens vanna-termostats</t>
  </si>
  <si>
    <t>Dokumentu skapis/plauktu sistēma</t>
  </si>
  <si>
    <t>Kārbas sonikācijai</t>
  </si>
  <si>
    <t>RTG aizsargtērpi</t>
  </si>
  <si>
    <t>Operāciju galda piegāde 5.operāciju blokam</t>
  </si>
  <si>
    <t>Gaisa dezinfekcijas un attīrīšanas iekārtu, medicīnas ledusskapju piegāde</t>
  </si>
  <si>
    <t>Metāla medicīnisko mēbeļu piegāde operāciju blokiem</t>
  </si>
  <si>
    <t>Pacientu vitālo funkciju novērošanas monitoru un centrālās novērošanas stacijas piegāde</t>
  </si>
  <si>
    <t>Universālo akumulatora tipa spēka instrumentu komplektu ar savienojumiem piegāde</t>
  </si>
  <si>
    <t>Pacientu gultu piegāde intensīvās terapijas nodaļas vajadzībām</t>
  </si>
  <si>
    <t>Operāciju galdu aprīkojuma un pufu piegāde</t>
  </si>
  <si>
    <t>Medicīniskās saldētavas piegāde</t>
  </si>
  <si>
    <t>Nespecifisko instrumentu komplektu piegāde</t>
  </si>
  <si>
    <t>Anestēzijas mašīnu piegāde</t>
  </si>
  <si>
    <t>Apavu mazgājamās mašīnas iegāde</t>
  </si>
  <si>
    <t>Spēka un pneimatisko instrumentu komplektācijas daļu piegāde</t>
  </si>
  <si>
    <t>Specifisko instrumentu piegāde osteosintēžu operācijām</t>
  </si>
  <si>
    <t>Biroja mēbeļu iegāde</t>
  </si>
  <si>
    <t>Arhīva telpu remontdarbi, jumta seguma atjaunošana</t>
  </si>
  <si>
    <t>EKG aparāti ( planšetes)</t>
  </si>
  <si>
    <t>Desktop datori</t>
  </si>
  <si>
    <t>Datortehnika CSN un ĶON</t>
  </si>
  <si>
    <t>Monitori</t>
  </si>
  <si>
    <t>Metodiskie norādījumi veidlapas aizpildīšanai:</t>
  </si>
  <si>
    <t xml:space="preserve"> Instrumenti tiek pasūtīti pēc vajadzības, nolūzušo, nodilušo instrumentu vietā vai arī, ja tiek formēti papildus komplekti vai arī mainās ķirurgu darba tehnika. Katru gadu summa atšķirsies, jo instrumenti gan lūzt, gan nolietojas dažādi, ja neskaita atsevišķas instrumentu grupas.</t>
  </si>
  <si>
    <t>2021. gadā tika noslēgti jauni sadarbības līgumi ar Latvijas universitāti un Rīgas stradiņu universitāti, kas paredz viena rezidenta finansējumu 2401.96 eur  (pirmais, otrais kurss) līdzšinējo 1983.37 eur vietā  un 2610.42 eur (pārējo kursu studentiem) līdzšinējo 2166.26 eur vietā.</t>
  </si>
  <si>
    <t>Sociālais nodoklis pārskaitīts par 2020.g. decembri 2021.g. janvārī. No 01.01.2021. darbiniekiem palielināta pamatalgas par 25%, proporcionāli palielinot  darda devēja socioālo iemaksu daļu.</t>
  </si>
  <si>
    <t>Algas par 2019.gadu izmaksātas 2020.gada janvārī, savukārt 2020.gada decembra algas izmaksātas 2020.gada decembrī, 2021. gada javāri izmaksātas atlikušās piemaksas, kuras nebija iespējams aprēķināt kopā ar algu. No 01.01.2021. darbiniekiem palielināta pamatalga par 25%.</t>
  </si>
  <si>
    <t>Ievērojami samazināts pakalpojumu apjoms COVID 19 ārkārtas situācijas dēļ</t>
  </si>
  <si>
    <t>Maksas operācijai</t>
  </si>
  <si>
    <t>Medasistents SIA</t>
  </si>
  <si>
    <t>Drošības nauda</t>
  </si>
  <si>
    <t xml:space="preserve"> Ievērojami samazināts visa veida ambulatoro operāciju skaits COVID19 ārkārtas situācijas dēļ</t>
  </si>
  <si>
    <t>Automātiska virsmu dezinfekcijas iekārta NOCOSPRAY 2 -2 gb</t>
  </si>
  <si>
    <t xml:space="preserve">Pārējie </t>
  </si>
  <si>
    <t>Krēsli biroja - 12 gb</t>
  </si>
  <si>
    <t>Statīvi dezatoram  - 7 gb</t>
  </si>
  <si>
    <t>Printeri</t>
  </si>
  <si>
    <t>Displejs</t>
  </si>
  <si>
    <t xml:space="preserve">Datori </t>
  </si>
  <si>
    <t>Pārējie</t>
  </si>
  <si>
    <t>Parādi piegādātājiem un darbuzņēmējiem (jānorāda 5 lielākos kreditorus, visus kavētos maksājumus un pārējo kreditoru kopsummu un kreditoru skaitu)</t>
  </si>
  <si>
    <t>Garantijas summa 5% projektiem</t>
  </si>
  <si>
    <t>Licence datu loģistikas programmai Synapsis</t>
  </si>
  <si>
    <t>Ultrasonogrāfijas iekārta Affiniti 70, Philips Healthcare, US216F0426</t>
  </si>
  <si>
    <t>Disku masīvs serveru datu glabāšanai</t>
  </si>
  <si>
    <t>Skeneri</t>
  </si>
  <si>
    <t>Palielināts finansējums rezidentiem.</t>
  </si>
  <si>
    <t>2020.gadu esam noslēguši ar peļņu 670574 eiro, kura sedza iepriekšējo gadu zaudējumus.</t>
  </si>
  <si>
    <t>Mainījies rezidentu skaits</t>
  </si>
  <si>
    <t xml:space="preserve">COVID19 ārkārtas situācijas dēļ ievērojami samazināta pacientu plūsma,  kā arī būtiski ierobežoti subakūtās rehabilitācijas pakalpojumi </t>
  </si>
  <si>
    <t xml:space="preserve">Pieaudzis atbrīvoto kategoriju pacientu skaits, kam nepieciešama stacionārā ārstēšana. </t>
  </si>
  <si>
    <t>Palielināts noslēgtā finansējuma apjoms</t>
  </si>
  <si>
    <t>Izpilde periodā no 2021. gada sākuma līdz pārskata 3. ceturkšņa beigām</t>
  </si>
  <si>
    <r>
      <t xml:space="preserve">Pamatlīdzekļu un nemateriālo ieguldījumu iegāde kopā </t>
    </r>
    <r>
      <rPr>
        <b/>
        <vertAlign val="superscript"/>
        <sz val="14"/>
        <rFont val="Times New Roman"/>
        <family val="1"/>
      </rPr>
      <t>1</t>
    </r>
  </si>
  <si>
    <t>Guliver Construction, PS</t>
  </si>
  <si>
    <t>Latvijas Pasts, VENDEN SIA</t>
  </si>
  <si>
    <t>Maiņas naudas kasēs</t>
  </si>
  <si>
    <t>Pārējie - 10 gb</t>
  </si>
  <si>
    <t>Plāns sastādīts ņemot vēra iepriekšejā gada atlīdzību valdei, kā arī nodarbināto skaitu struktūrvienībā. No 19.04.2021.  izbeigts līgums ar valdes locekli, līdz ar to plānotie izdevumi algai ir mazaki, nekā plānots gada sākumā.</t>
  </si>
  <si>
    <t xml:space="preserve">No 01.01.2021. darbiniekiem palielināta pamatalga. </t>
  </si>
  <si>
    <t>Covid 19 ietekme.</t>
  </si>
  <si>
    <t>Covid 19 ietekmē patērēts lielāks daudzums medicīnas preces, savukārt, implanti patērēti mazākā apjomā, jo būtiski tika ierobežoti plānveida pakalpojumi ( endoprotezēšanas operācijas)</t>
  </si>
  <si>
    <t xml:space="preserve"> 2021.gadā ir cēlusies likme aprēķinot vides piesārņošanu uzņēmumā, pievienotā vērtības nodokļa maiņa no 12% un 21%.</t>
  </si>
  <si>
    <t>Maksas pakalpojumi sniegti lielākā apjomā.</t>
  </si>
  <si>
    <t>Covid 19 ietekmē patērēts lielāks daudzums medicīnas preces, savukārt, implanti patērēti mazākā apjomā, jo būtiski tika ierobežoti plānveida pakalpojumi (endoprotezēšanas operācijas)</t>
  </si>
  <si>
    <t>2021.gadā pieaudzis dabas resursu nodoklis un PVN likme no 12% uz 21%</t>
  </si>
  <si>
    <t>stacionārai palīdzībai</t>
  </si>
  <si>
    <t>Izpilde periodā no 2020. gada sākuma līdz 4. ceturkšņa beigām</t>
  </si>
  <si>
    <t>Plāns periodam no 2021. gada sākuma līdz pārskata 4. ceturkšņa beigām</t>
  </si>
  <si>
    <t>Izpilde periodā no 2021. gada sākuma līdz 4. ceturkšņa beigām</t>
  </si>
  <si>
    <t>Izpilde periodā no 2020. gada sākuma līdz pārskata 4. ceturkšņa beigām</t>
  </si>
  <si>
    <t>Izpilde periodā no 2021. gada sākuma līdz pārskata 4. ceturkšņa beigām</t>
  </si>
  <si>
    <t>Pieaudzis  pacientu ar akūtām traumām, kam nepieciešama neatliekama stacionēšana, skaits</t>
  </si>
  <si>
    <t>Samazināts   dienas stacionārā veikto operāciju skaits COVID19 ārkārtas situācijas dēļ, lai nodrošinātu stacionāro pakalpojumu sniegšanu</t>
  </si>
  <si>
    <t>Maksas pakalpojumi 2021. gada 12 mēnešos Covid 19 ietekmē tika sniegti mazāk kā tika plānoti.Pārējo saimnieciskās darbības ieņēmumu palielinājums-saņemtie Centrālas finanšu un līgumu aģentūras maksājumi.</t>
  </si>
  <si>
    <t>Pārējo saimnieciskās darbības ieņēmumu palielinājums-saņemtie Centrālas finanšu un līgumu aģentūras maksājumi.</t>
  </si>
  <si>
    <t>Stacionēto pacientu skaits Slimnīcā bija mazāks. 2021. gadā tika samazināta parka zālāja un apstādījumu laistīšana, sakarā ar dārznieka ilgstošu prombūtni- veselības apstākļu dēļ.</t>
  </si>
  <si>
    <t>Palielināts noslēgtā finansējuma apjoms stacionārai palīdzībai.Kopējo pieaugumu ietekmē  COVID 19 piemaksas ārstniecības personām, individuālajiem aizsardzības līdzekļiem, uzkrājumi atvaļinājumu rezervei un pacientu un paraugu transportam.</t>
  </si>
  <si>
    <t>2021. gadā Slimnīcā tika mazāk veikti pētījumu projekti.</t>
  </si>
  <si>
    <t>Palielinātas pamatalgas personālam no 01.01.2021. par aptuveni 25%. Laika posmā no 01.01.2021.-31.12.2021. darbiniekiem, kuri iesaistīti Covid pacientu ārstēšanā un aprūpē ir veiktas papildus piemaksa par darbu paaugstināta riska un slodzes apstākļos saistībā ar Covid 19.</t>
  </si>
  <si>
    <t>Palielinātas pamatalgas personālam no 01.01.2021. par aptuveni 15%. Laika posmā no 01.01.2021.-30.06.2021. darbiniekiem, kuri iesaistīti Covid pacientu ārstēšanā un aprūpē ir veiktas papildus piemaksa par darbu paaugstināta riska un slodzes apstākļos saistībā ar Covid 19.</t>
  </si>
  <si>
    <t>No 01.01.2021. sanitāriem pamatalga palielināta par 25%. Laika posmā no 01.01.2021.-31.12.2021. darbiniekiem, kuri iesaistīti Covid pacientu ārstēšanā un aprūpē ir veiktas papildus piemaksa par darbu paaugstināta riska un slodzes apstākļos saistībā ar Covid 19.</t>
  </si>
  <si>
    <t>Ņemot vērā Covid izplatību 2021. gadā salīdzinot ar iepriekšejo gadu nostrādāto virsstundu skaits palielinājiems par 6.54%, to ietekmēja būtisks slimības lapu pieagums (17.68%) un slimošanas ilguma pieagums (24.53%) salīdzinot ar iepriekšejo gadu.</t>
  </si>
  <si>
    <t>1145 - Plāns sastādīts ņemot vērā 2020.gada izpildi. 2021. darbiniekiem, kuri bija iesaistīti Covid pacientu aprūpē, tika piemaksāts par darbu paaugstināta riska un slodzes apstākļos. 1146- salīdzinot ar iepriekšējo gadu nostrādāto stundu skaits ir palielinājies par 1.62 % (610.05 stundas). Piemaksa tiek aprēķināta % no nostrādātajām stundām, tāpēc salīdzot ar plānu izdevumi ir palielinājušies, jo palielinājies nostrādāto stundu skaits. 1148- 2020. gada darbiniekiem tika aprēķināta un izmaksāta prēmija par kvalitatīvi veiktu darbu 2020.gadā, savukārt 2021. prēmijas netika aprēķinātas un izmaksātas.1149- Plāns sastādīts ņemot vērā 2020.gada izdevumu +5% iespējamais palielinājums, bet ņemot vērā, ka Covid19 būtuski ietekmēja slimnīcas darbību 2021. gada plāns netika izpildīts.</t>
  </si>
  <si>
    <t xml:space="preserve">Plāns sastādīts ņemot vēra 2020.gada izmaksas līgumdarbinieku atalgojumam. Ņemot vērā ka 2021.gadā tiek slēgti jauni līgumi par rezidentu apmācību, kā arī, gan pavasarī gan rudenī ir izsludināts ārkārtas stāvoklis, ir samazinājušās praktiskās un teorētiskās pegadoģijas vienības. Apmācību apjomas ir samazinājies par aptuveno 25.9%, salīdzinot ar 2020. gadu. Kas tika ņemts vērā sastādod plānu. </t>
  </si>
  <si>
    <t>Plāns sastādīts ņemot vērā 2020.gada izdevumu +25% algas palienājumu +5% iespējamais palielinājums, plāns netika izpildīts.</t>
  </si>
  <si>
    <t>Saistībā ar Covid19 palielinājies slimības lapu apjoms. Plāns tika sastādīts ņemot vērā 2020. gad izpildi.1128- 2021. gada darbiniekiem tāpat, kā iepriekšejos gados kompensēti 20 eiro briļļu iegādei, salīdzot ar iepriekšējo gadu iesniegumi saņemti vairāk. Šo pozīciju grūti ieplānot, nav zināks, aptuveni cik darbiniekiem būs nepieciešams iegādāties brilles darbam.</t>
  </si>
  <si>
    <t>Slimnīcas personālam palielinātas pamatalgas aptuveni par 25%.  No 19.04.2021.  izbeigts līgums ar valdes locekli, līdz ar to faktiskie izdevumi salīdzinot ar iepriekšejā gada  izpildi ir samazinājušies. Darbiniekiem, kuri iesaistīti Covid 19 seku likvidēšanā un pacientu aprūpē, tika piemaksāts par darbu paaugstināta riska un slodzes apstākļos, kas palienāja vidējo izpeļņu.</t>
  </si>
  <si>
    <t>1141;1142;1146 - medicīnas personālam palielinātas algas par 25% proporcionāli palielinot procentuālās piemaksas. 1145 - no 01.01.2021.-31.12.2021. darbiniekiem kuri iesaistīti Covid19 pacientu aprūpē noteiktas piemaksas saistībā ar paaugstinātas slodze un riska apstākļiem  ņemot vērā valstī noteikto ārkārtas stāvokli izplatoties Covid 19. 1148- 2020. gada darbiniekiem tika aprēķināta un izmaksāta prēmija par kvalitatīvi veiktu darbu 2020.gadā, savukārt 2021. prēmijas netika aprēķinātas un izmaksātas.</t>
  </si>
  <si>
    <t>No 01.01.2021. darbiniekiem palielināta pamatalga. Proporcionāli palielinoties pamatalgai palielinās procentuālās piemaksas. Proporcionāli algas pielikumam palielinā darba devēja sociālās iemaksas. Laika posmā no 01.01.2021.-31.12.2021.. darbiniekiem, kuri iesaistījās Covid19 paecientu aprūpē aprēķinātas piemaksas saistībā ar Covid 19, proporcionāli palielito darba devēja sociālās iemaksas.</t>
  </si>
  <si>
    <t>No NVD projekta līguma Nr. 01-11.4/110</t>
  </si>
  <si>
    <t>Gadžijevs Tabrizs</t>
  </si>
  <si>
    <t>Zālīte Kristiāna</t>
  </si>
  <si>
    <t>Salinieks Artis</t>
  </si>
  <si>
    <t>Pārējie - 5 gb</t>
  </si>
  <si>
    <t>Wesemann SIA</t>
  </si>
  <si>
    <t>Enefit, SIA</t>
  </si>
  <si>
    <t>E.Gulbja laboratorija, SIA</t>
  </si>
  <si>
    <t>Pārējie - 78 gb</t>
  </si>
  <si>
    <t>Gjensidige, ADB Latvijas filiāle</t>
  </si>
  <si>
    <t>Apdrošināšanas izmaksas nekustamajam īpašumam</t>
  </si>
  <si>
    <t>Pārējie - 5772 gb</t>
  </si>
  <si>
    <t>BTA Baltic Insurance Company AAS</t>
  </si>
  <si>
    <t>Uzkrājumi veidoti EUR 164 044</t>
  </si>
  <si>
    <t>Medicīniskais trenažieris HUR, PULLEY brīvi stāvošs, 8831</t>
  </si>
  <si>
    <t>Pacienta vitālo funkciju novērošanas monitors IntelliVue MX 450 ar MMX mērījumu moduli, 866062</t>
  </si>
  <si>
    <t>Centrālā novērošanas stacija Intelli Vue Information Center iX, 866389</t>
  </si>
  <si>
    <t>Saldētava 400 ECT-F touch Plasma-Superartic, 001,S/N 81939</t>
  </si>
  <si>
    <t>Motors Synthes Colibri II, 532.101</t>
  </si>
  <si>
    <t>Kušetes -2 gb</t>
  </si>
  <si>
    <t>EKG datu arhivācijas sistēmas programmnodrošinājums WebApp</t>
  </si>
  <si>
    <t>2021. gada janvārī - decembrī nebija plānoti ieguldījumi licencei datu loģistaikas programmai.</t>
  </si>
  <si>
    <t>2021. gada janvārī - decembrī salīdzinoši ar 2020.gada attiecīgio periodu esam iegādājušies intelektuālo īpašumu - licenci datu loģistikas programmai Synapsis - 1 gb un EKG datu arhivācijas sistēmas programmnodrošinājums WebApp- 1 gb.</t>
  </si>
  <si>
    <t>2021. gada janvārī - decembrī nebija plānoti ieguldījumi nepabeigtā celtniecībā un kapitālo darbu rekonstrukcijā.</t>
  </si>
  <si>
    <t>2021. gada janvārī - decembrī salīdzinoši ar 2020.gada attiecīgio periodu ir ieguldījumi līdzekļi nepabeigtā celtniecībā un noslēdzies ERAF projekts un ņemta uzskaitē  3. korpusa rekonstrukcija - atjaunošanas un pārbūves darbi kopsummā par 1 470 497 eiro.</t>
  </si>
  <si>
    <t>2021.gada janvārī - decembrī  tehnoloģiskajām iekārtām - medicīnas iekārtām plāns nav izpildīts -  no pozīcijām rotācijas mikrotoms, micro koagulācija, medicīniskā saldētava, profesionālā veļas mazgāšanas iekārta, gaisa dezinfekcijas un attīrīšanas iekārtām un ledusskapjiem kopsummā par 153326 eiro. Plāns pārpildīts saimniecības pamatlīdzekļiem - krēsliem, kusetēm par 8017 eiro un datortehnikai un sakaru tehnikai - datoriem, printeriem, disku masīvu serveru glabātājiem par 22957 eiro.</t>
  </si>
  <si>
    <t>2021.gada janvārī - decembrī  kustamiem īpašumiem salīdzinoši ar 2020.gada attiecīgo periodu, tehnoloģiskajām iekārtām - palielinājums par 40477 eiro, saimniecības pamatlīdzekļiem (krēsliem , statīviem, galdiem, skapjiem) ir samazinājums par 32471 eiro, datortehnikai (datoriem, printeriem) palielinājums  par 17827 eiro.</t>
  </si>
  <si>
    <r>
      <t>Skaidrojumi</t>
    </r>
    <r>
      <rPr>
        <vertAlign val="superscript"/>
        <sz val="14"/>
        <rFont val="Times New Roman"/>
        <family val="1"/>
      </rPr>
      <t>1</t>
    </r>
  </si>
  <si>
    <t>2021.gada janvārī-decembrī pašu kapitāla plāns neprecīzs.</t>
  </si>
  <si>
    <t>2021.gada janvārī-decembrī peļņas plāns par iepriekšejo periodu neprecīzs.</t>
  </si>
  <si>
    <t>2021.gada janvārī-decembrī peļņas plāns neprecīzs.</t>
  </si>
  <si>
    <t>Pašu kapitāla izmaiņas ir tieši saistītas ar nesadalīto peļņu, 2021.gada janvārī - decembrī nesadalītā peļņa - 20445 eiro, 2020.gada attiecīgajā periodā - 626367 eiro.</t>
  </si>
  <si>
    <t>2021.gada janvārī - decembrī  ir pieauguši ieņēmumu un izdevumu posteņi -ieņēmumi 2021.gada attiecīgajā periodā palielinājušies par 14.5% eiro,bet izdevumi palielinājušie  par 21.7% eiro, salīdzinoši ar 2020.gada janvāri - decembri.</t>
  </si>
  <si>
    <t xml:space="preserve">2021.gada janvārī - decembrī nākamo periodu ieņēmumi ir samazinājušies, salīdzinoši ar 2020.gada janvāri - decembri - 2021.gadā no Ilgtermiņa kreditoriem investīciju ieņemumos atskaitīti 259 277 eiro;  parādi piegādātājiem (LAGRON SIA, Guliver Construction, PS) kā garantijas summa projektu izdevumos ir palielinājies par 25244 eiro, salīdzinoši ar 2020.gada attiecīgo periodu. </t>
  </si>
  <si>
    <t>2021. gada janvāra - decembrī  plāns ir neprecīzs - plāns parādiem piegādātājiem, nodokļiem un saņemtiem avansiem no fiziskām personām un pārējiem kreditoriem.</t>
  </si>
  <si>
    <r>
      <t>2021.gada janvārī - decembrī  īstermiņa kreditoriem ir palielinājums salīdzinoši ar 2020. gada attiecī</t>
    </r>
    <r>
      <rPr>
        <b/>
        <sz val="14"/>
        <rFont val="Times New Roman"/>
        <family val="1"/>
      </rPr>
      <t>g</t>
    </r>
    <r>
      <rPr>
        <sz val="14"/>
        <rFont val="Times New Roman"/>
        <family val="1"/>
      </rPr>
      <t>o periodu - parādi piegādātājiem uz 01.01.2022. ( Johonson  AB Latvijas filiāle SIA 133 034 eiro ,  Wesemann, SIA - 84 088 eiro, Medasistents, SIA  64 598 eiro, Enefit, SIA 31 974 eiro - vēl nav apmaksas termiņš)-  2021. gadā bija pievienotā vērtības nodokļa starpība medicīnas precēm; pārējiem kreditoriem - samazinājums  atllikumā uz 01.01.2022. darba algās par 8063 eiro un nodokļos samazinājums  par 177622 eiro.</t>
    </r>
  </si>
  <si>
    <t>2021.gada janvāra - decembra plāns  licencēm neprecīzs.</t>
  </si>
  <si>
    <t>2021.gada janvārī - decembrī  nemateriālie ieguldījumi bilancē ir palielinājums ar attiecīgo periodu 2020. gadā, jo ir iegādāta licence datu loģistikai un EKG datu arhivācijas sistēmas programmnodrošinājums, pamatā licences u.c. nemateriālie ieguldījumi tiek nomāti.</t>
  </si>
  <si>
    <t>2021.gad janvārī - decembrī pamatlīdzekļu izveidošanai,  celtniecībai ir neprecīzs plāns -  2 lieli projekti: ERAF projekta ietvaros 3.korpusa ēkas atjaunošana un pārbūves darbi  un Nacionālā veselības dienesta projekta ietvaros jaunas endoprotezēšanas operāciju zāles izveide . 2021.gada janvārī - decembrī lielākā pamatlīdzekļu iegāde: ventilācijas sistēma 53887 eiro, anestēzijas iekārtas - 2 gb 68704 eiro,mikrobioloģiskais analizators 33759 eiro,operāciju galds 32803 eiro, plaušu ventilācijas iekārta 31980 eiro, datu serveris 20640 eiro.</t>
  </si>
  <si>
    <t>2021.gada janvārī - decembrī  palielinājušies ilgtermiņa ieguldījumi, salīdzinoši ar 2020.gada attiecīgo periodu - 2021. gada janvārī - jūnijā aktīvi tika ieguldīti līdzekļi ERAF projektā nepabeigtā celtniecībā. Uz 01.01.2022. projekts ir noslēdzies un tāpēc ir palielinājums  pamatlīdzeklī - ēkas un iegādāti pamatlīdzekļi un iekārtas operāciju zāles izveidei, avansa maksājumiem 2021. gada janvārī - decembrī  par pamatlīdzekļiem nav.</t>
  </si>
  <si>
    <t>2021.gada janvārī - decembrī plāns neprecīzs.</t>
  </si>
  <si>
    <t>2021.gada janvārī - decembrī  ir samazinājums krājumiem, izejvielām, pamatmateriāliem un materiāliem (medikamentiem samazinājums par 1348 eiro, endoprotēzēm par 7040 eiro, medicīnas palīgmateriāliem par 9222 eiro, palielinājums mazvērtģajam inventāram  par 2987 eiro, salīdzinoši ar 2020.gada attiecīgo periodu.</t>
  </si>
  <si>
    <t>2021.gada janvārī - decembrī plāns neprecīzs citiem debitoriem un nākamo periodu izmaksām - plānots kā 2020.gada izpilde.</t>
  </si>
  <si>
    <t>2021.gada plāns janvārim - decembrim neprecīzs.</t>
  </si>
  <si>
    <t>2021.gada janvārī - decembrī naudas līdzekļu atlikums uz gada beigām ir salīdzinoši mazāks kā 2020. gada janvārī - decembrī  - uz 31.12.2020. - Kreditoriem, kuriem bija apmaksas termiņs 31.12.2021 veikti pārskaitījumi, tika ieguldīti līdzekļi dārgajos pamatlīdzekļos operāciju zāles izveidei.</t>
  </si>
  <si>
    <t>2021. gada janvārī - decembrī samazinājums citiem debitoriem - 2020.gada attiecīgajā periodā bija iepriekš samaksātais pievienotās vērtības nodoklis 9565 eiro un  izsnsiegts avanss anesteziologam dalības maksai anesteziologu kursos Spānijā 681 eiro. Palielinājums salīdzinājumā ar 2020.gada atiecīgo periodu ir pircēju , pasūtītāju parādiem par 58134 eiro.</t>
  </si>
  <si>
    <t>2021.gada janvārī - decembrī nav paredzēti plānā procentu ieņēmumi.</t>
  </si>
  <si>
    <t>2021.gada janvārī- decembrī procentu ieņēmumos ir parādnieku samaksātās soda nauda 46 eiro apmērā un līgumsods par laikā nesamaksātu rēķinu 11 eiro, salīdzinoši ar 2020.gada attiecīgo periodu.</t>
  </si>
  <si>
    <t>2021.gada janvārī - decembrī izpilde salīdzinoši ar 2020. gada attiecīgo periodu ir lielāka sekojošās pozīcijās - ieņēmumos no Nacionālā veselības dienesta stacionārajiem pakalpojumiem par 1373158 eiro,  ambulatorajiem pakalpojumiem par 123245 eiro, Covid-19 laikā palīdzība izdevumu segšanai par 1036039 eiro, ieņēmumos par ambulatorajiem maksas pakalpojumiem par 20407 eiro, ieņēmumos par rezidentu apmācību par 173925 eiro, saņemtos bezmaksas medikamentos par 96360 eiro. Izpilde mazāka 2021. gadā , salīdzinoši ar 2020. gadu ir ieņemumos no maksas implantiem.</t>
  </si>
  <si>
    <r>
      <t>Skaidrojumi</t>
    </r>
    <r>
      <rPr>
        <vertAlign val="superscript"/>
        <sz val="14"/>
        <rFont val="Times New Roman"/>
        <family val="1"/>
      </rPr>
      <t>2</t>
    </r>
  </si>
  <si>
    <r>
      <t>Skaidrojumi</t>
    </r>
    <r>
      <rPr>
        <vertAlign val="superscript"/>
        <sz val="12"/>
        <rFont val="Times New Roman"/>
        <family val="1"/>
      </rPr>
      <t>2</t>
    </r>
  </si>
  <si>
    <t>2021. gada janvārī - decembrī  plāns iekšzemes apmācībām ir saskaņā ar 2020.gada attiecīgā perioda izpildi.</t>
  </si>
  <si>
    <t>2021.gada janvārī - decembrī apmācības - kursu dalības maksa Varšavā, salīdzinoši - 270 eiro ar 2020. gada janvārī - decembrī ir bijuši izdevumi 1 rezidenta  apmācībām kursos, māsu dalība konferencē - Līderība māsu praksē.</t>
  </si>
  <si>
    <t>2021. gada janvārī - decembrī  plāns ārvalstu apmācībām  ir saskaņā ar 2020.gada attiecīgā perioda izpildi.</t>
  </si>
  <si>
    <t>2021. gadā tika apmeklēts viens seminārs par minimālās higiēnas prasībām, salīdzinoši 2020.gadā trīs semināri Līderības māsu praksē un viena dalība traumu kursos.</t>
  </si>
  <si>
    <t>2021.gada janvāra - decembrī plāns nav izpildīts sakaru pakalpojumiem - pasta izdevumiem (izpilde 2021. gadā 5417 eiro) , telefona izdevumiem (izpilde 2021. gadā 3590 eiro), interneta pakalpojumiem (5779 eiro).</t>
  </si>
  <si>
    <t>2021. gada janvāra - decembra plāns informāciju tehnoloģiskajiem pakalpojumiem nav izpildīts : iekārtu uzturēšanai, informāciju tehnoloģiju nomai, kasešu uzpildīšanai un sakaru tehnoloģiju uzturēšanai (nebija nepieciešamība)</t>
  </si>
  <si>
    <t>2021.gada janvāra-decembra plāns kopējiem izdevumiem neizpildīts par 192951 eiro: lielākās pozīcijas - nomas pakalpojumiem 127122 eiro, telpu uzturēšanas pakalpojumiem 82392 eiro, programmatūru uzturēšanas pakalpojumiem 60225 eiro, atkritumu izvešanas pakalpojumiem 58889 eiro.</t>
  </si>
  <si>
    <t>2021.gada janvārī-decembrī samazinājušās izmaksas sekojošās pozīcijās:  pamatlīdzekļu neamortizējamai daļai par 853 eiro, nomas pakalpojumiem par 1530 eiro; palielinājušās izmaksas: telpu uzturēšanas pakalpojumiem par 6778 eiro, atkritumu izvešanas pakalpojumiem par 3217 eiro, programmatūru uzturēšanas pakalpojumiem par 230 eiro, izdevumiem propjektu ietvaros par 4576 eiro.</t>
  </si>
  <si>
    <t>2021.gada janvāra - decembra plāns pārējiem kopējiem ieņēmumiem neizpildīts par 1312720 eiro - plāns neprecīzs. Plāns neto apgrozījumā valsts apmaksātai veselības aprūpei stacionārai palīdzībai pārpildīts par 1373158 eiro un ambulatorai palīdzībai pārpildīts par 123245 eiro.</t>
  </si>
  <si>
    <t>2021.gada janvārī-decembrī salīdzinoši ar 2020.gada attiecīgo periodu ir palielinājušies pārējie saimnieciskās darbības ieņēmumi pa sekojošām lielākajām pozīcijām: ieņēmumi par caurlaides pakalpojumiem par 2747 eiro, investīciju ieņēmumiem par 50597 eiro,  ieņēmumiem par nomu  par 15158 eiro;  samazinājums  pārējiem ieņēmumiem ( pamatlīdzekļu iegāde ar labu atlaidi) par 11099 eiro.</t>
  </si>
  <si>
    <t>2021.gada janvāra-decembra plāns administrācijas izmaksām neprecīzs. Plānā iekļauti lielāki izdevumi prezentācijas izdevumiem, datu aizsardzības pakalpojumiem, projektēšanas uzdevumu izstrādei.</t>
  </si>
  <si>
    <t>2021.gada janvārī-decembrī administrācijas izmaksās palielinājums ar 2020. gada attiecīgo periodu ir darba algā par 25903 eiro,  darba devēja sociālajam nodoklim par 1182 eiro, sakaru izdevumiem (telefonu sakari - īsziņu sūtīšana pacientiem) palielinājums par 2023 eiro un naudas apgrozījuma blakus izdevumi (bankas pielieto procentu par naudas atlikumu kontā) par 2680 eiro.</t>
  </si>
  <si>
    <t>2021.gada janvāra - decembra mēnešos, salīdzinoši ar 2020.gada janvāra - decembra mēnešiem lielāki izdevumi : personāla algās par 2392363 eiro, darba devēja sociālajam nodoklim par 517339 eiro, medicīnas palīgmateriāliem par 327974 eiro, implantu izdevumiem par 217050 eiro, pamatlīdzekļu nolietojumam par 64394 eiro, pievienotā vērtības nodokļa norakstīšanai (PVN proporciju maksātāji) par 184978 eiro. 2021.gada attiecīgajā periodā mazāki izdevumi : endoprotēžu izdevumiem par 222865 eiro.</t>
  </si>
  <si>
    <t>2021. gada janvārī - decembrī plāns neizpildīts - Covid 19 ierobežojumu dēļ.</t>
  </si>
  <si>
    <t>2021.gada janvārī - decembrī dalības radioloģijas nodaļas darbiniekam maksa uz kursiem Varšavā - 270 eiro, salīdzinoši ar 2020.gada attiecīgo periodu -  dalības maksai  ārstam rezidentamTallinnā 150 eiro, ceļa izdevumiem mācību programmai uz Lund universitātes klīniku - 209 eiro, medicīnas māsām prakse - Līderības māsu praksē - jauniem iespaidiem un idejām - 50 eiro, dalības mksa kongresā Austrijā - 295 eiro.</t>
  </si>
  <si>
    <t>2021.gada janvārī - decembrī esam krājumus mazāk iepirkuši kā plānojām - neprecīzs plāns.</t>
  </si>
  <si>
    <t>2021. gada janvāra - decembra mēnešos zāles, medicīnas preces, instrumentus esam mazāk iepirkuši, kā plānojuši - mazāks pacientu skaits Covid 19 ierobežojumu dēļ.</t>
  </si>
  <si>
    <t>2021. gada janvārī - decembrī plānotais naudas atlikums uz perioda beigām neprecīzs -Eiropas savienības fondu līdzfinansējumam un budžeta līdzekļiem un Nacionālā veselības dienesta projektam.</t>
  </si>
  <si>
    <t>2021.gada janvārī - decembrī plāns pakalpojumiem neizpildīts - plānots transporta pakalpojumiem (Covid-19 pacientu pārvadāšanai) bija 23023 eiro, izpildīts 2021.gada attiecīgajā periodā - 4017 eiro; administrācijas un vadīšanas izdevumiem par 57766 eiro neizpildīts plāns; informācijas tehnoloģiju pakalpojumiem par 46785 eiro neizpildīts plāns; iekārtu, inventāra remontiem par 21650 eiro neizpildīts plāns; nekustamā īpašuma uzturēšanai par 10376 eiro neizpildīts plāns.</t>
  </si>
  <si>
    <t xml:space="preserve">2021.gada janvāra - decembra mēnešos ir sekojošiem pakalpojumiem lielāka naudas plūsma - apkurei par 147246 eiro, elektroenerģijai par 39634 eiro, iekārtu un aparatūras remontiem un tehniskai apkopei par 42033 eiro; ēku, telpu uzturēšanai un remontdarbiem par 90357 eiro, salīdzinoši ar 2020. gada attiecīgo periodu. </t>
  </si>
  <si>
    <t>2021. gadā pievienotais vērtības nodoklis naudas plūsmā ir par 60265 eiro lielāks, dabas resusrsu nodoklis par 3442 eiro lielāks kā 2020.gadā.</t>
  </si>
  <si>
    <t>2021.gada janvārī - decembrī nebija plānots iegādāties licences - neprecīzs plāns.</t>
  </si>
  <si>
    <t>2021. gada janvārī - decembrī esam iegādājušies licenci datu loģistikas programmai Synapsis un datu arhivācijas sistēmas programmnodrošinājumu.</t>
  </si>
  <si>
    <t>2021.gada janvārī - decembrī  tehnoloģiskajām iekārtām - medicīnas iekārtām plāns nav izpildīts par 122352 eiro - neprecīzs plānojums.</t>
  </si>
  <si>
    <t xml:space="preserve">2021. gada janvārī - decembrī plānā nebija paredzēts ieguldīt nekustamajā īpašumā - neprecīzs plāns. </t>
  </si>
  <si>
    <t>2021.gada janvārī - decembrī plāns saņemtam finansējumam no Eiropas  Struktūrfondiem bija 221891 eiro, izpilde par 148822 eiroo mazāka. ERAF plāno 2022. gadā pārskaitīt 168151 eiro.</t>
  </si>
  <si>
    <t>2021. gada janvārī - decembrī saņemtās subsīdijās no Eiropas struktūrfondiem  saņemtas par 359035 eiro mazāk, kā 2020.gada attiecīgajā periodā. ERAF projekta ietvaros  2021. gada 22. aprīlī ir akts par būves nodošanu ekspluatcijā.</t>
  </si>
  <si>
    <t>2021. gadam nebija plānots ieguldīt naudu pamatkapitālā.</t>
  </si>
  <si>
    <t xml:space="preserve">2021.gada 23.decembrī notika ārkārtas dalībnieku sapulce ar lēmumu Slimnīcas pamatkapitāla palielināšanai. </t>
  </si>
  <si>
    <t>2021.gada janvārī - decembrī plāns neprecīzs pārējiem izdevumiem - norakstīto pamatlīdzekļu atlikušajai vērtībai un naudas balvām, uzkrājumiem neizmantotiem atvaļinājumiem un šaubīgiem debitoriem.</t>
  </si>
  <si>
    <t>2021. gada janvārī- decembrī neizmantoto atvaļinājumu izdevumi ir lielāki,kā 2020. gada attiecīgajā periodā - 2021. gadā neizmantotie atvaļinājumi par 124943 eiro lielāki un sociālāis nodoklis par neizmantotiem atvaļinājumiem ir lielāks par 26048 eiro. 2021.gada  janvāra - dembra attiecīgajā perodā naudas balvās un apbedīšanas pabalstos ir par 1288 eiro vairāk izmaksās , kā 2020.gada attiecīgajā periodā.</t>
  </si>
  <si>
    <t>2021.gada janvāra - decembrī plāns sastādīts saskaņā ar 2020.gada attiecīgā perioda izpildi.</t>
  </si>
  <si>
    <t>2021.gada janvāra - decembra plāns ir satādīts saskaņā ar 2020.gada attiecīgā perioda izpildi.</t>
  </si>
  <si>
    <t xml:space="preserve">2021.gada janvārī-decembrī  procentu ieņēmumos ir parādnieku smaksātie procenti - 49 eiro, salīdzinoši ar 2020.gada attiecīgo periodu 27 eiro. </t>
  </si>
  <si>
    <t>2021.gada janvāri-decembrī palielinājušies izdevumi Pievienotā vērtības nodokļa izdevumos, kas ir mainīgā daļa, jo esam  PVN proporciju maksātāji, t.i. neatskaitāmais priekšnodoklis ir tieši atkarīgs no medicīnisko pakalpojumu proporcijas  pret kopējiem darījumiem, sekojoši šis procents tiek pielietots aprēķinot neatskaitāmo priekšnodokli, kurš palielina izdevumus. 2021. gada jūlijs - decembris  mēnešos pievienotā vērtības nodokļa likmes maiņas starpība sastāda 100128 eiro. 2021. gada janvārī - decembrī ir iepirkts vairāk preču, pakalpojumu, attiecīgi PVN maksājumi lielāki, kā 2020. gada attiecīgajā periodā. Dabas resursu nodoklis 2021. gada janvārī - decembrī ir palielinājies, jo ir palielinājusies  oklekļa dioksīda pielietojamā lime no 9.00 eiro un  12.00 eiro, salīdzinoši ar 2020. gada attiecīgo periodu, uzņēmējdarbības riska nodeva 2021.gada janvārī - decembrī ir mazāka, kā 2020.gada attiecīgajā periodā - darbinieku mainība.</t>
  </si>
  <si>
    <t>2021.gada janvāra - decembra mēnešos lielāki izdevumi, kā 2020. gada attiecīgajā periodā pamatlīdzekļu nolietojumam par 78559 eiro -  ēku nolietojumam par 8430 eiro, tehnisko iekārtu un dārgajai aparatūrai par 39750 eiro, informāciju tehnoloģiskajām iekārtām par 2671 eiro, mēbelēm un saimnieciskajām iekārtām par 27708 eiro.</t>
  </si>
  <si>
    <t>2021.gada janvāra-decembra periodā nedrošajiem debitoru parādiem - atgūtie parādi bija mazāki par 227 eiro, salīdzinoši ar 2020.gada attiecīgā perioda ieņēmumiem. 2020.gada janvārī - decembrī piegādātāji ( Artropulss SIA - rokasmotora iegādei) ir devuši labu atlaidi pamatlīdzekļu iegādei 4252 eiro,Digiteks SIA piegādājuši slimnīcai žņaugu sistēmas, manžetes ar atlaidi 100% summā 9300 eiro, 2020. gadā  pētījumu ietvaros neatliekamās palīdzības transportēšanai - ieņēmumos ir 45636 eiro. 2021.gada attiecīgajā periodā saņemts  - ginekoloģiskais krēsls 1000 eiro.</t>
  </si>
  <si>
    <t>2021.gada janvāra-decembra plāns ir sastādīts saskaņā ar 2020.gada attiecīgā perioda izpildi - pamatlīdzekļu saņemšanai ar 100% atlaidi summā 13551 eiro, pārējie ieņēmumi 2100 eiro.</t>
  </si>
  <si>
    <t>2021.gada plāns ir sastādīts, pamatojoties uz 2020. gada izpildi.</t>
  </si>
  <si>
    <t>2021.gada  janvāra - decembrī plāns neprecīzs,  sastādīts pamatojoties uz 2020. gada izpildi.</t>
  </si>
  <si>
    <t>2021.gada janvāra - decembra plāns sastādīts, pamatojoties uz 2020. gada attiecīgā perioda izpildi.</t>
  </si>
  <si>
    <t>2021. gada janvārī - decembrī tika organizēta Neatliekamās palīdzības transportēšana ar palīdzības ārsta palīgu brigādi - 17. gadījumi (summā 3697 eiro), ar Covid-19 saistītos gadījumos pacientu transportēšanai 2021. gada janvārī - decembrī sastādīja - 6 gadījumus (summā 320 eiro). Plānota lielāka summa Covid -19 pacientu transportēšanai.</t>
  </si>
  <si>
    <t>2021. gada janvārī - decembrī izsaukumi pacientu transportēšanai (Neatliekamās medicīniskās palīdzības diensts, MILUR SIA) izlietoti summā 3697 eiro, salīdzinoši ar 2020. gada attiecīgo periodu  223 eiro. 2020.gada attiecīgajā periodā transporta izdevumos bija 9325 eiro - pētījuma ietvaros, salīdzinoši ar 2021. gada attiecīgo periodu šādu izdevumu nebija.</t>
  </si>
  <si>
    <t>2021.gada janvāra - decembra komisijas maksām bankās, inkasācijas pakalpojumiem, komsijas maksām par naudas līdzekļu atlikumu bankās virs 300 tūkst eiro par 3289 eiro vairāk  kā 2020. gada attiecīgajā periodā.</t>
  </si>
  <si>
    <t>2021.gada janvārī - decembrī apmācības izdevumiem medicīnas personālam  - 469 eiro (apmācības 8 darbiniekiem par radiācijas drošības un kvalitātes nodrošinājumu)bija mazāki salīdzinoši ar 2020. gada attiecīgo periodu, apmācības izdevumi pārējam personālam 2021. gada janvārī - decembrī notika 1 apmācības - 95 eiro (noteikumi par būvnormatīvu ievērošanu), salīdzinoši 2020. gada janvārī - decembrī 5 apmācības (par dokumentēšanas aktualitātēm; regulējošo aktu aktualitātes narkotisko, psihotropo  vielu apritē, improvizācija personāla atlasē, elektroniskie dokumenti un paraksti un publiskie iepirkumi) - samazinājums 2021. gada periodā.</t>
  </si>
  <si>
    <t>2021.gada janvārī-decembrī asins komponenti no Valsts Asinsdonora centra izlietoti vairāk, kā 2020.gada attiecīgajā periodā, atkarīgs no ārstējamo pacientu sarežģītības pakāpes.</t>
  </si>
  <si>
    <t>2021.gada janvārī - decembrī medicīnas instrumenti - šķēres, brūču turētāji, spailes, adatturi, kuagulācijas naži, rīmera galviņa u.c. no Centralizētās sterilizācijas  un sterilo materiālu apgādes nodaļas izmaksās ir 27324 eiro, salīdzinoši ar 2020. gada attiecīgo periodu 17978 eiro.</t>
  </si>
  <si>
    <t xml:space="preserve">2021.gada janvāra - decembrī plāns komunālajiem pakalpojumiem pārpildīts apkurei par 131870 eiro - auksta bija sezona, elektroenerģijai par 20791eiro, atkritumu izvešanai par 1565 eiro, samazinaājums ūdensapgādei un kanalizācijai par 2491 eiro, </t>
  </si>
  <si>
    <t xml:space="preserve">2021.gada janvārī - decembrī izdevumi ir palielinājušies, siltumenerģijai par 147246 eiro - ziemas sezona bija auksta; gan elektroenerģijai par 39634 eiro - elektrība tika izmantota kapitālremontiem,  tarifu maiņa gada beigu kvartālā, atkritumu savākšana, izvešana par 3235 eiro - liela apjoma kapitālremonti,  salīdzinoši ar 2020.gada attiecīgo periodu.  Ūdensapgāde attiecīgajā periodā ir samazinājusies - par 2491 eiro.  </t>
  </si>
  <si>
    <t>2021.gada janvāra-decembra plāns ir saskaņā ar 2020. gada attiecīgā perioda izpildi.</t>
  </si>
  <si>
    <t>2021.gada janvārī - decembrī  komisijas maksa par pabeigtām lietām parādu piedziņas kompānijai  (pabeigtas 698 lietas) izdevumi mazāki kā 2020.gada attiecīgajā periodā (pabeigtas 1082 lietas) par 526 eiro. Komisijas maksa par pabeigtām lietām ar 25% un 13%  proporcija 2020. gadā un 2021.gadā  dažāda.</t>
  </si>
  <si>
    <t>2021. gada plāns ir saskaņā ar 2020.gada izpildi.</t>
  </si>
  <si>
    <t>2021.gadā degviela izlietota 1279 litri - degviela izlietota 2 autotransporta līdzekļiem, salīdzinoši ar 2020.gadā izlietojumu - 1352 litri (degviela izlietota 3 autotransporta līdzekļiem). Izlietotā summa degvielas iegādei lielāka 2021. gadā - cenu pieaugums, salīdzinoši ar 2020.gadu.</t>
  </si>
  <si>
    <t>2021.gadā medikamenti izlietoti vairāk, salīdzinoši ar 2020.gadu. 2021.gada decembrī tika izlietoti medikamenti - zāles par 20413 eiro vairāk, salīdzinoši ar 2020.gada decembri - ieņēmumi 2021.gada decembrī par stacionārajiem maksas pakalpojumiem, maksas endoprotēzēm un maksas implantiem ir par 25628 eiro lielāki , salīdzinoši ar 2020.gada decembra maksas ieņēmumiem.</t>
  </si>
  <si>
    <t>2021. gada janvārī - decembrī medicīnas palīgmateriāli plānoti, pamatojoties uz 2020.gada attiecīgā perioda izpildi. Šajā periodā pieprasījums pēc laboratorijas izmeklējumiem bijis lielāks.</t>
  </si>
  <si>
    <t>2021.gada janvāra - decembra plāns ir saskaņā ar 2020.gada attiecīgā perioda izpildi. 2021.gadā nepieciešamība pēc dažādiem meteriāliem un mazajiem iekšējiem remontdarbiem bija lielāka.</t>
  </si>
  <si>
    <t>2021.gada janvārī-decembrī pašu spēkiem veiktie ārkārtas remonti izmaksās ir palielinājušies par 7320 eiro, salīdzinoši ar 2020. gada attiecīgo periodu.</t>
  </si>
  <si>
    <t>2021. gad janvārī - decembrī medicīnas palīgmateriālu - sterilu un nesterilu cimdu, filtru vienreizējo, sterilu konteineru, vienreizēju virsvalku, sūklīšu, mikroskopu pārvalku, reaktīvu izmaksās par 8324 eiro vairāk, salīdzinoši ar 2020. gada attiecīgo periodu.</t>
  </si>
  <si>
    <t>2021.gada  janvāra - decembra plāns neprecīzs.  Esam plānojuši lielākus izdevumus vadīšanas un administrācijas izdevumiem, Covid 19 vīrusa ietekmē, izdevumi samazināti.</t>
  </si>
  <si>
    <t>2021.gada janvāra - decembra juridiskajiem pakalpojumiem neprecīzs, sastādīts sakaņā ar 2020. gada attiecīgā perioda izpildi  - sertificēta datu aizsardzības speciālista pakalpojumi (Oskars Leons, RAdošo tehnoloģiju centrts SIA).</t>
  </si>
  <si>
    <t>2021.gada janvārī- decembrī - sertificēta datu aizsardzības speciālista pakalpojumu izdevumi ir mazāki par 746 eiro, salīdzinoši ar 2020.gada attiecīgo periodu. No 2020.gada augusta par datu aizsardzību noslēgts līgums ar mikrouzņēmumu O. Leons - 2020 gadā notika vairāk apmācības darbiniekiem par datu drošību.</t>
  </si>
  <si>
    <t>2021.gada janvāra - decembrī plāns neizpildīts ēdināšanas izdevumiem, mazāks pacientu skaits un to uzturēšanās stacionārā īsāka. Inventārs, kas bija paredzēts nodaļas aprīkojumam un rehabilitācijas nodaļai - iegrāmatoti kā pamatlīdzekļi. Virtuves inventāra iegādē - 2021. gada janvārī - decembrī tika iegādāti vienreizējie trauki ar Covid-19 saistītajiem pacientiem.</t>
  </si>
  <si>
    <t xml:space="preserve">2021.gada janvāra - dembra mēnešos esam  iegādājušies no  virtuves un mīkstā inventāra - vienreizlietojamie trauki 649 eiro un traukus (zupas šķivji, sķivji, karotes, dakšas, krūzes) no katra veida par 30gb  144 eiro 1. nodaļas vajadzībām, inventārs (videokameras - 11. gb, austiņas -5 gb, taburetes - 16 gb 1. nodaļai, tējkannas -3 gb uzņemšanas nodaļai, žalūzijas - 76 gb un 30 pretinsektu tīklus 3. nodaļai, 1. nodaļai un 4. nodaļai un 5. nodaļai sastatnes uzņemšanas nodalai, ventilatori administrācijai par 12334 eiro.2021. gada janvāra - decembra mēnešos ēdināšanas izdevumi ir samazinājušies (38697 porcijas - tajā skaitā 4288 porcijas decembrī, summā 142060 eiro) ar 2020. gada attiecīgo periodu (42008 porcijas tajā skaitā 2842 porcijas decembrī, summā 1529545 eiro). </t>
  </si>
  <si>
    <t>2021.gada janvārī - decembrī plāns par biroja precēm, inventāru un darba aizsardzības līdzekļiem neprecīzs. 2021. gada janvārī - decembrī  biroja precēm veidlapām 7592 eiro, (papīrs, pildspalvas,kabatiņas, marķieri, zīmuļi), inventāram (cimdi, tualetes, papīrs, salvetes,atkritumu maisi, mazgāšanas līdzekļi) - 62472 eiro, darba aizsardzības līdzekļiem (iegādātas medicīnas personālam nodaļām - jakas -941 gb un bikses -941 gb), puspalagi, palagi, virspalagi. spilvendrāna, pledi, dvieļi, pidžamu bikses, krekli - 70724 eiro. Minētais inventārs un preces iepirktas pēc nepieciešamības.</t>
  </si>
  <si>
    <t>2021.gada janvāra-decembra periodā izmaksas dažādām biroja precēm  (saimniecības un kanceleju precēm samazinājums par 1006 eiroun veidlapām palielinājās par 160 eiro ), inventāram (tualetes papīrs, atkritumu maisi, mazgāšanas līdzekļi, gaisa atsvaidzinātāji, birstes u.c. palielinājums  par 21199 eiro), darba aizsardzības līdzekļiem  (individuālie apģērbi - jakas, halāti, sejas maskām (kokvilnas) palielinājušies izdevumi par 21446 eiro, salīdzinājumā ar 2020.gada attiecīgo periodu.</t>
  </si>
  <si>
    <t>2021.gadā pārējiem pakalpojumiem esam izlietojuši vairāk līdzekļu, salīdzinoši kā 2020.gadā - veļas mzgāšanai par 3347 eiro, medicīniskajiem (magnētiskā rezonanse, asins analīzes) pakalpojumiem par 17145 eiro, izdevumos, projektu ieviešot par 3936 eiro, pārējiem pakalpojumiem (GPS iekārtas servera abonēšana, par rezidentu teorētisko apmācību par apmācībām sadarbībā izglītībā un zinātnē) par 9756 eiro, salīdzinoši ar 2020. gadu.</t>
  </si>
  <si>
    <t>2021.gada janvāri - decembrī par iekārtu un aparatūras īri un nomu plānots kā 2020.gada attiecīgā perioda izpilde. 2021. gada janvārī - decembrī medicīnas skābekļa tvertnes, balonu noma (Linde Gas AS) - izmaksās 5166 eiro, ultrasonogrāfijas noma ( Arbor Medical Korporācija SIA) izmaksās 5396 eiro, dīzeļģeneratora noma (Avesco SIA) izmaksās 14000 eiro, higiēnas preču, paklāju noma (ELIS Tekstila serviss SIA) izmaksās 2701 eiro.</t>
  </si>
  <si>
    <t>2021.gada janvārī-decembrī  noma iekārtām ir samazinājusies :  Arbor Medical Korporācija SIA -ultrasonogrāfijas iekārtas nomai samazinājums par 6548 eiro(nomas līgums izbeidzās 2021.gada aprīlī); samazinājums ir Linde Gas AS- medicīnas skābekļa tvertnes un balonu nomai par 60 eiro. 2021.gada janvārī - decembrī   ELIS SIA  - paklāju un higiēnas preču nomai palielinājums  par 571 eiro. Pārējā nomā - VENDEN, SIA  iekārtu nomas samazinājums par 109 eiro.</t>
  </si>
  <si>
    <t xml:space="preserve">2021. gada janvāra - decembra plāns lielāks -  iekārtu un aparatūras remontiem paredzētiem  izdevumiem par 21650 eiro, nekustamā īpašuma uzturēšanai  par 10376 eiro. Ēku un telpu remontiem pārpildīts plāns par 11825 eiro  - administrācijas ēkā koridora un kāpņu telpas remonta izmaksas - 43170 eiro, telpu remontdarbi APTIEKĀ - 25088 eiro, remontdarbi ambulatorās nodaļas 2.stāvā - 9983 eiro, 3.korpusa kāpņu telpā - 9940 eiro, korpusā Nr.3  garderobes remontdarbi - 9698 eiro, patohistoloģijas laboratorijas remontdarbi - 7801 eiro. </t>
  </si>
  <si>
    <t xml:space="preserve">2021. gada janvārī - decembrī, salīdzinoši ar 2020.gada attiecīgo periodu lielāki izdevumi ēku remontdarbiem par 90357 eiro eiro  - grīdas remonts reanimācijas nodaļā,  kāpņu telpas remontdarbi 3.korpusā, ambulatorai nodaļai - durvju remonts un nodaļas labajā spārnā remonts, avārijas remonts pagrābstāvā - aukstā ūdens cauruļu nomaiņa, garderobes remonts korpusā 3, patohistoloģijas laboratorijā remotdarbi, šahtas durvju demontāžas darbi un remonts liftam, telpu remonts APTIEKĀ, koridora un kāpņu telpu remonts administrācijas ēkā. 2021. gadā medicīnisko iekārtu, aparatūras tehniskai apkalpošanai un apkopei  par 36607 eiro lielāki izdevumi kā 2020. gada attiecīgajā periodā, saimnieciskajām iekārtām tehniskā apkope ir lielāka par 5426 eiro.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</si>
</sst>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 #,##0.00_-;\-&quot;€&quot;\ * #,##0.00_-;_-&quot;€&quot;\ * &quot;-&quot;??_-;_-@_-"/>
    <numFmt numFmtId="165" formatCode="_-* #,##0.00\ _€_-;\-* #,##0.00\ _€_-;_-* &quot;-&quot;??\ _€_-;_-@_-"/>
    <numFmt numFmtId="166" formatCode="0.0%"/>
    <numFmt numFmtId="167" formatCode="_-* #,##0.00\ _L_s_-;\-* #,##0.00\ _L_s_-;_-* &quot;-&quot;??\ _L_s_-;_-@_-"/>
    <numFmt numFmtId="168" formatCode="#,##0\ _€"/>
  </numFmts>
  <fonts count="75"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font>
    <font>
      <sz val="11"/>
      <color indexed="8"/>
      <name val="Calibri"/>
      <family val="2"/>
    </font>
    <font>
      <sz val="12"/>
      <color indexed="8"/>
      <name val="Times New Roman"/>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name val="Helv"/>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sz val="12"/>
      <color indexed="8"/>
      <name val="Calibri"/>
      <family val="2"/>
      <charset val="186"/>
    </font>
    <font>
      <sz val="10"/>
      <color indexed="8"/>
      <name val="MS Sans Serif"/>
      <family val="2"/>
      <charset val="186"/>
    </font>
    <font>
      <sz val="12"/>
      <name val="Times New Roman"/>
      <family val="1"/>
      <charset val="186"/>
    </font>
    <font>
      <sz val="10"/>
      <name val="Garamond"/>
      <family val="1"/>
      <charset val="186"/>
    </font>
    <font>
      <sz val="10"/>
      <name val="Tahoma"/>
      <family val="2"/>
      <charset val="186"/>
    </font>
    <font>
      <b/>
      <sz val="18"/>
      <color indexed="56"/>
      <name val="Cambria"/>
      <family val="2"/>
      <charset val="186"/>
    </font>
    <font>
      <sz val="11"/>
      <color theme="1"/>
      <name val="Calibri"/>
      <family val="2"/>
      <scheme val="minor"/>
    </font>
    <font>
      <sz val="14"/>
      <name val="Arial"/>
      <family val="2"/>
      <charset val="186"/>
    </font>
    <font>
      <sz val="14"/>
      <name val="Times New Roman"/>
      <family val="1"/>
    </font>
    <font>
      <b/>
      <sz val="14"/>
      <name val="Times New Roman"/>
      <family val="1"/>
    </font>
    <font>
      <i/>
      <sz val="14"/>
      <name val="Times New Roman"/>
      <family val="1"/>
    </font>
    <font>
      <b/>
      <i/>
      <sz val="14"/>
      <name val="Times New Roman"/>
      <family val="1"/>
    </font>
    <font>
      <b/>
      <u/>
      <sz val="14"/>
      <name val="Times New Roman"/>
      <family val="1"/>
    </font>
    <font>
      <b/>
      <sz val="14"/>
      <name val="Times New Roman"/>
      <family val="1"/>
      <charset val="186"/>
    </font>
    <font>
      <sz val="14"/>
      <name val="Times New Roman"/>
      <family val="1"/>
      <charset val="186"/>
    </font>
    <font>
      <b/>
      <sz val="14"/>
      <color theme="1"/>
      <name val="Times New Roman"/>
      <family val="1"/>
    </font>
    <font>
      <vertAlign val="superscript"/>
      <sz val="14"/>
      <name val="Times New Roman"/>
      <family val="1"/>
    </font>
    <font>
      <b/>
      <sz val="14"/>
      <color rgb="FF414142"/>
      <name val="Times New Roman"/>
      <family val="1"/>
    </font>
    <font>
      <b/>
      <sz val="12"/>
      <name val="Times New Roman"/>
      <family val="1"/>
    </font>
    <font>
      <sz val="12"/>
      <name val="Times New Roman"/>
      <family val="1"/>
    </font>
    <font>
      <sz val="8"/>
      <name val="Arial"/>
      <family val="2"/>
      <charset val="186"/>
    </font>
    <font>
      <sz val="14"/>
      <color theme="1"/>
      <name val="Times New Roman"/>
      <family val="1"/>
    </font>
    <font>
      <i/>
      <sz val="14"/>
      <name val="Times New Roman"/>
      <family val="1"/>
      <charset val="186"/>
    </font>
    <font>
      <b/>
      <sz val="10"/>
      <name val="Times New Roman"/>
      <family val="1"/>
    </font>
    <font>
      <sz val="10"/>
      <name val="Times New Roman"/>
      <family val="1"/>
    </font>
    <font>
      <vertAlign val="superscript"/>
      <sz val="10"/>
      <name val="Times New Roman"/>
      <family val="1"/>
    </font>
    <font>
      <i/>
      <sz val="10"/>
      <name val="Times New Roman"/>
      <family val="1"/>
    </font>
    <font>
      <sz val="14"/>
      <color rgb="FF000000"/>
      <name val="Times New Roman"/>
      <family val="1"/>
      <charset val="186"/>
    </font>
    <font>
      <i/>
      <sz val="12"/>
      <name val="Times New Roman"/>
      <family val="1"/>
    </font>
    <font>
      <vertAlign val="superscript"/>
      <sz val="12"/>
      <name val="Times New Roman"/>
      <family val="1"/>
    </font>
    <font>
      <sz val="12"/>
      <color rgb="FFFF0000"/>
      <name val="Times New Roman"/>
      <family val="1"/>
    </font>
    <font>
      <b/>
      <i/>
      <sz val="12"/>
      <name val="Times New Roman"/>
      <family val="1"/>
    </font>
    <font>
      <b/>
      <sz val="12"/>
      <color indexed="9"/>
      <name val="Times New Roman"/>
      <family val="1"/>
    </font>
    <font>
      <b/>
      <u/>
      <sz val="12"/>
      <name val="Times New Roman"/>
      <family val="1"/>
    </font>
    <font>
      <b/>
      <i/>
      <sz val="14"/>
      <name val="Times New Roman"/>
      <family val="1"/>
      <charset val="186"/>
    </font>
    <font>
      <i/>
      <sz val="14"/>
      <color rgb="FFFF0000"/>
      <name val="Times New Roman"/>
      <family val="1"/>
    </font>
    <font>
      <sz val="14"/>
      <color rgb="FFFF0000"/>
      <name val="Times New Roman"/>
      <family val="1"/>
    </font>
    <font>
      <b/>
      <vertAlign val="superscript"/>
      <sz val="14"/>
      <name val="Times New Roman"/>
      <family val="1"/>
    </font>
    <font>
      <b/>
      <sz val="10"/>
      <color rgb="FFFF0000"/>
      <name val="Times New Roman"/>
      <family val="1"/>
    </font>
    <font>
      <sz val="10"/>
      <color rgb="FFFF0000"/>
      <name val="Times New Roman"/>
      <family val="1"/>
    </font>
    <font>
      <b/>
      <sz val="12"/>
      <color rgb="FFFF0000"/>
      <name val="Times New Roman"/>
      <family val="1"/>
    </font>
    <font>
      <b/>
      <u/>
      <sz val="12"/>
      <color rgb="FFFF0000"/>
      <name val="Times New Roman"/>
      <family val="1"/>
    </font>
  </fonts>
  <fills count="3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2"/>
        <bgColor indexed="64"/>
      </patternFill>
    </fill>
    <fill>
      <patternFill patternType="solid">
        <fgColor rgb="FF92D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indexed="64"/>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rgb="FF414142"/>
      </left>
      <right style="thin">
        <color rgb="FF414142"/>
      </right>
      <top/>
      <bottom style="thin">
        <color rgb="FF414142"/>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414142"/>
      </left>
      <right/>
      <top style="thin">
        <color rgb="FF414142"/>
      </top>
      <bottom style="thin">
        <color rgb="FF414142"/>
      </bottom>
      <diagonal/>
    </border>
    <border>
      <left style="thin">
        <color indexed="64"/>
      </left>
      <right/>
      <top/>
      <bottom style="thin">
        <color indexed="64"/>
      </bottom>
      <diagonal/>
    </border>
  </borders>
  <cellStyleXfs count="1468">
    <xf numFmtId="0" fontId="0" fillId="0" borderId="0"/>
    <xf numFmtId="0" fontId="7" fillId="0" borderId="0"/>
    <xf numFmtId="0" fontId="7" fillId="0" borderId="0"/>
    <xf numFmtId="0" fontId="6" fillId="0" borderId="0"/>
    <xf numFmtId="0" fontId="5" fillId="0" borderId="0"/>
    <xf numFmtId="0" fontId="7" fillId="0" borderId="0"/>
    <xf numFmtId="0" fontId="7" fillId="0" borderId="0"/>
    <xf numFmtId="0" fontId="4" fillId="0" borderId="0"/>
    <xf numFmtId="0" fontId="3"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28" fillId="0" borderId="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2"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4" fillId="17" borderId="14"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0" fontId="15" fillId="31" borderId="15" applyNumberFormat="0" applyAlignment="0" applyProtection="0"/>
    <xf numFmtId="41" fontId="7" fillId="0" borderId="0" applyFont="0" applyFill="0" applyBorder="0" applyAlignment="0" applyProtection="0"/>
    <xf numFmtId="165" fontId="1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1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19" fillId="0" borderId="18"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20"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1" borderId="14" applyNumberFormat="0" applyAlignment="0" applyProtection="0"/>
    <xf numFmtId="0" fontId="21" fillId="11"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1" fillId="17" borderId="14" applyNumberFormat="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1"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11" fillId="0" borderId="0"/>
    <xf numFmtId="0" fontId="10"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9" fillId="0" borderId="0"/>
    <xf numFmtId="0" fontId="9" fillId="0" borderId="0"/>
    <xf numFmtId="0" fontId="33" fillId="0" borderId="0"/>
    <xf numFmtId="0" fontId="33" fillId="0" borderId="0"/>
    <xf numFmtId="0" fontId="33"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11" fillId="0" borderId="0"/>
    <xf numFmtId="0" fontId="11" fillId="0" borderId="0"/>
    <xf numFmtId="0" fontId="7"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2" fillId="0" borderId="0"/>
    <xf numFmtId="0" fontId="2" fillId="0" borderId="0"/>
    <xf numFmtId="0" fontId="11"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36" fillId="0" borderId="0" applyFont="0" applyFill="0" applyAlignment="0" applyProtection="0"/>
    <xf numFmtId="0" fontId="36" fillId="0" borderId="0" applyFont="0" applyFill="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34" fillId="15" borderId="23" applyNumberFormat="0" applyFont="0" applyAlignment="0" applyProtection="0"/>
    <xf numFmtId="0" fontId="3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7" fillId="15" borderId="23" applyNumberFormat="0" applyFon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0" fontId="24" fillId="17" borderId="24"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8" fillId="0" borderId="0"/>
    <xf numFmtId="0" fontId="7" fillId="0" borderId="0"/>
  </cellStyleXfs>
  <cellXfs count="821">
    <xf numFmtId="0" fontId="0" fillId="0" borderId="0" xfId="0"/>
    <xf numFmtId="3" fontId="41" fillId="0" borderId="1" xfId="0" applyNumberFormat="1" applyFont="1" applyFill="1" applyBorder="1" applyAlignment="1" applyProtection="1">
      <alignment horizontal="center" vertical="center" wrapText="1"/>
    </xf>
    <xf numFmtId="3" fontId="41" fillId="3" borderId="1" xfId="0" applyNumberFormat="1" applyFont="1" applyFill="1" applyBorder="1" applyAlignment="1" applyProtection="1">
      <alignment horizontal="right" vertical="center"/>
      <protection locked="0"/>
    </xf>
    <xf numFmtId="3" fontId="41" fillId="0" borderId="1"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vertical="center"/>
    </xf>
    <xf numFmtId="3" fontId="41" fillId="0" borderId="1" xfId="0" applyNumberFormat="1" applyFont="1" applyFill="1" applyBorder="1" applyAlignment="1" applyProtection="1">
      <alignment horizontal="right" vertical="center" wrapText="1"/>
      <protection locked="0"/>
    </xf>
    <xf numFmtId="0" fontId="40" fillId="0" borderId="0" xfId="0" applyFont="1" applyAlignment="1">
      <alignment vertical="center"/>
    </xf>
    <xf numFmtId="3" fontId="41" fillId="3" borderId="1" xfId="6" applyNumberFormat="1" applyFont="1" applyFill="1" applyBorder="1" applyAlignment="1" applyProtection="1">
      <alignment horizontal="right" vertical="center"/>
      <protection locked="0"/>
    </xf>
    <xf numFmtId="3" fontId="43" fillId="5" borderId="1" xfId="0" applyNumberFormat="1" applyFont="1" applyFill="1" applyBorder="1" applyAlignment="1" applyProtection="1">
      <alignment horizontal="center" vertical="center" wrapText="1"/>
    </xf>
    <xf numFmtId="0" fontId="41" fillId="0" borderId="1" xfId="0" applyNumberFormat="1" applyFont="1" applyFill="1" applyBorder="1" applyAlignment="1" applyProtection="1">
      <alignment horizontal="center" vertical="center"/>
    </xf>
    <xf numFmtId="3" fontId="43" fillId="5" borderId="1" xfId="12" applyNumberFormat="1" applyFont="1" applyFill="1" applyBorder="1" applyAlignment="1" applyProtection="1">
      <alignment horizontal="center" vertical="center" wrapText="1"/>
    </xf>
    <xf numFmtId="3" fontId="43" fillId="0" borderId="1" xfId="0" applyNumberFormat="1" applyFont="1" applyFill="1" applyBorder="1" applyAlignment="1" applyProtection="1">
      <alignment horizontal="center" vertical="center" wrapText="1"/>
    </xf>
    <xf numFmtId="0" fontId="41" fillId="0" borderId="0" xfId="0" applyFont="1" applyProtection="1">
      <protection locked="0"/>
    </xf>
    <xf numFmtId="0" fontId="41" fillId="0" borderId="1" xfId="6" applyNumberFormat="1" applyFont="1" applyFill="1" applyBorder="1" applyAlignment="1" applyProtection="1">
      <alignment horizontal="center" vertical="center"/>
    </xf>
    <xf numFmtId="3" fontId="41" fillId="0" borderId="1" xfId="1" applyNumberFormat="1" applyFont="1" applyFill="1" applyBorder="1" applyAlignment="1" applyProtection="1">
      <alignment horizontal="center" vertical="center" wrapText="1"/>
    </xf>
    <xf numFmtId="0" fontId="41" fillId="0" borderId="0" xfId="0" applyFont="1" applyAlignment="1" applyProtection="1">
      <alignment vertical="center"/>
    </xf>
    <xf numFmtId="0" fontId="41" fillId="0" borderId="0" xfId="0" applyFont="1" applyFill="1" applyAlignment="1" applyProtection="1">
      <alignment vertical="center"/>
    </xf>
    <xf numFmtId="3" fontId="41" fillId="0" borderId="1" xfId="6" applyNumberFormat="1" applyFont="1" applyFill="1" applyBorder="1" applyAlignment="1" applyProtection="1">
      <alignment horizontal="left" vertical="center" wrapText="1"/>
    </xf>
    <xf numFmtId="3" fontId="41" fillId="0" borderId="1" xfId="6" applyNumberFormat="1" applyFont="1" applyFill="1" applyBorder="1" applyAlignment="1" applyProtection="1">
      <alignment vertical="center" wrapText="1"/>
    </xf>
    <xf numFmtId="0" fontId="41" fillId="0" borderId="0" xfId="0" applyFont="1" applyAlignment="1" applyProtection="1">
      <alignment horizontal="right" vertical="center"/>
    </xf>
    <xf numFmtId="3" fontId="41" fillId="0" borderId="1" xfId="0" applyNumberFormat="1" applyFont="1" applyBorder="1" applyAlignment="1" applyProtection="1">
      <alignment vertical="center"/>
      <protection locked="0"/>
    </xf>
    <xf numFmtId="0" fontId="41" fillId="3" borderId="1" xfId="6" applyFont="1" applyFill="1" applyBorder="1" applyAlignment="1" applyProtection="1">
      <alignment horizontal="left" vertical="center" wrapText="1"/>
      <protection locked="0"/>
    </xf>
    <xf numFmtId="0" fontId="41" fillId="0" borderId="1" xfId="0" applyFont="1" applyBorder="1" applyAlignment="1" applyProtection="1">
      <alignment horizontal="center" vertical="center"/>
      <protection locked="0"/>
    </xf>
    <xf numFmtId="49" fontId="42" fillId="2" borderId="5" xfId="6" applyNumberFormat="1" applyFont="1" applyFill="1" applyBorder="1" applyAlignment="1" applyProtection="1">
      <alignment horizontal="center" vertical="center"/>
    </xf>
    <xf numFmtId="0" fontId="42" fillId="2" borderId="7" xfId="6" applyFont="1" applyFill="1" applyBorder="1" applyAlignment="1" applyProtection="1">
      <alignment vertical="center" wrapText="1"/>
    </xf>
    <xf numFmtId="0" fontId="42" fillId="2" borderId="8" xfId="6" applyFont="1" applyFill="1" applyBorder="1" applyAlignment="1" applyProtection="1">
      <alignment horizontal="center" vertical="center" wrapText="1"/>
    </xf>
    <xf numFmtId="3" fontId="42" fillId="2" borderId="1" xfId="6" applyNumberFormat="1" applyFont="1" applyFill="1" applyBorder="1" applyAlignment="1" applyProtection="1">
      <alignment horizontal="center" vertical="center"/>
    </xf>
    <xf numFmtId="3" fontId="44" fillId="2" borderId="3" xfId="6" applyNumberFormat="1" applyFont="1" applyFill="1" applyBorder="1" applyAlignment="1" applyProtection="1">
      <alignment horizontal="center" vertical="center"/>
    </xf>
    <xf numFmtId="3" fontId="44" fillId="2" borderId="1" xfId="6" applyNumberFormat="1" applyFont="1" applyFill="1" applyBorder="1" applyAlignment="1" applyProtection="1">
      <alignment horizontal="center" vertical="center"/>
    </xf>
    <xf numFmtId="49" fontId="42" fillId="4" borderId="5" xfId="6" applyNumberFormat="1" applyFont="1" applyFill="1" applyBorder="1" applyAlignment="1" applyProtection="1">
      <alignment horizontal="center" vertical="center"/>
    </xf>
    <xf numFmtId="0" fontId="42" fillId="4" borderId="4" xfId="6" applyFont="1" applyFill="1" applyBorder="1" applyAlignment="1" applyProtection="1">
      <alignment vertical="center" wrapText="1"/>
    </xf>
    <xf numFmtId="0" fontId="42" fillId="4" borderId="4" xfId="6" applyFont="1" applyFill="1" applyBorder="1" applyAlignment="1" applyProtection="1">
      <alignment horizontal="center" vertical="center" wrapText="1"/>
    </xf>
    <xf numFmtId="3" fontId="42" fillId="4" borderId="1" xfId="6" applyNumberFormat="1" applyFont="1" applyFill="1" applyBorder="1" applyAlignment="1" applyProtection="1">
      <alignment horizontal="center" vertical="center"/>
    </xf>
    <xf numFmtId="3" fontId="44" fillId="4" borderId="1" xfId="6" applyNumberFormat="1" applyFont="1" applyFill="1" applyBorder="1" applyAlignment="1" applyProtection="1">
      <alignment horizontal="center" vertical="center"/>
    </xf>
    <xf numFmtId="49" fontId="41" fillId="0" borderId="5" xfId="6" applyNumberFormat="1" applyFont="1" applyFill="1" applyBorder="1" applyAlignment="1" applyProtection="1">
      <alignment horizontal="center" vertical="center"/>
    </xf>
    <xf numFmtId="49" fontId="41" fillId="0" borderId="1" xfId="6" applyNumberFormat="1" applyFont="1" applyFill="1" applyBorder="1" applyAlignment="1" applyProtection="1">
      <alignment horizontal="center" vertical="center"/>
    </xf>
    <xf numFmtId="0" fontId="42" fillId="2" borderId="4" xfId="6" applyFont="1" applyFill="1" applyBorder="1" applyAlignment="1" applyProtection="1">
      <alignment vertical="center" wrapText="1"/>
    </xf>
    <xf numFmtId="0" fontId="42" fillId="2" borderId="9" xfId="6"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readingOrder="1"/>
    </xf>
    <xf numFmtId="49" fontId="42" fillId="2" borderId="1" xfId="6" applyNumberFormat="1" applyFont="1" applyFill="1" applyBorder="1" applyAlignment="1" applyProtection="1">
      <alignment horizontal="center" vertical="center"/>
    </xf>
    <xf numFmtId="3" fontId="42" fillId="2" borderId="1" xfId="6" applyNumberFormat="1" applyFont="1" applyFill="1" applyBorder="1" applyAlignment="1" applyProtection="1">
      <alignment vertical="center" wrapText="1"/>
    </xf>
    <xf numFmtId="49" fontId="42" fillId="32" borderId="1" xfId="6" applyNumberFormat="1" applyFont="1" applyFill="1" applyBorder="1" applyAlignment="1" applyProtection="1">
      <alignment horizontal="center" vertical="center"/>
    </xf>
    <xf numFmtId="3" fontId="42" fillId="32" borderId="1" xfId="6" applyNumberFormat="1" applyFont="1" applyFill="1" applyBorder="1" applyAlignment="1" applyProtection="1">
      <alignment horizontal="center" vertical="center"/>
    </xf>
    <xf numFmtId="3" fontId="42" fillId="2" borderId="3" xfId="6" applyNumberFormat="1" applyFont="1" applyFill="1" applyBorder="1" applyAlignment="1" applyProtection="1">
      <alignment horizontal="center" vertical="center" wrapText="1"/>
    </xf>
    <xf numFmtId="3" fontId="43" fillId="0" borderId="1" xfId="6" applyNumberFormat="1" applyFont="1" applyFill="1" applyBorder="1" applyAlignment="1" applyProtection="1">
      <alignment horizontal="left" vertical="center" wrapText="1" indent="2"/>
    </xf>
    <xf numFmtId="3" fontId="42" fillId="32" borderId="1" xfId="6" applyNumberFormat="1" applyFont="1" applyFill="1" applyBorder="1" applyAlignment="1" applyProtection="1">
      <alignment horizontal="left" vertical="center" wrapText="1"/>
    </xf>
    <xf numFmtId="3" fontId="42" fillId="32" borderId="1" xfId="6" applyNumberFormat="1" applyFont="1" applyFill="1" applyBorder="1" applyAlignment="1" applyProtection="1">
      <alignment horizontal="center" vertical="center" wrapText="1"/>
    </xf>
    <xf numFmtId="3" fontId="42" fillId="32" borderId="1" xfId="0" applyNumberFormat="1" applyFont="1" applyFill="1" applyBorder="1" applyAlignment="1" applyProtection="1">
      <alignment horizontal="center" vertical="center"/>
    </xf>
    <xf numFmtId="3" fontId="44" fillId="32" borderId="1" xfId="0" applyNumberFormat="1" applyFont="1" applyFill="1" applyBorder="1" applyAlignment="1" applyProtection="1">
      <alignment horizontal="center" vertical="center"/>
    </xf>
    <xf numFmtId="49" fontId="41" fillId="0" borderId="0" xfId="6" applyNumberFormat="1" applyFont="1" applyFill="1" applyBorder="1" applyAlignment="1" applyProtection="1">
      <alignment horizontal="center" vertical="center"/>
    </xf>
    <xf numFmtId="3" fontId="41" fillId="0" borderId="0" xfId="6" applyNumberFormat="1" applyFont="1" applyFill="1" applyBorder="1" applyAlignment="1" applyProtection="1">
      <alignment horizontal="left" vertical="center" wrapText="1"/>
    </xf>
    <xf numFmtId="3" fontId="41" fillId="0" borderId="0" xfId="6" applyNumberFormat="1" applyFont="1" applyFill="1" applyBorder="1" applyAlignment="1" applyProtection="1">
      <alignment horizontal="right" vertical="center" wrapText="1"/>
    </xf>
    <xf numFmtId="3" fontId="41" fillId="0" borderId="0" xfId="0" applyNumberFormat="1" applyFont="1" applyFill="1" applyBorder="1" applyAlignment="1" applyProtection="1">
      <alignment horizontal="right" vertical="center"/>
    </xf>
    <xf numFmtId="3" fontId="41" fillId="0" borderId="0" xfId="6" applyNumberFormat="1" applyFont="1" applyFill="1" applyBorder="1" applyAlignment="1" applyProtection="1">
      <alignment horizontal="right" vertical="center"/>
    </xf>
    <xf numFmtId="3" fontId="43" fillId="0" borderId="0" xfId="0" applyNumberFormat="1" applyFont="1" applyFill="1" applyBorder="1" applyAlignment="1" applyProtection="1">
      <alignment horizontal="center" vertical="center"/>
    </xf>
    <xf numFmtId="3" fontId="43" fillId="0" borderId="0" xfId="6" applyNumberFormat="1" applyFont="1" applyFill="1" applyBorder="1" applyAlignment="1" applyProtection="1">
      <alignment horizontal="center" vertical="center"/>
    </xf>
    <xf numFmtId="0" fontId="41" fillId="0" borderId="0" xfId="0" applyFont="1" applyAlignment="1" applyProtection="1">
      <alignment vertical="center" wrapText="1"/>
    </xf>
    <xf numFmtId="0" fontId="43" fillId="0" borderId="0" xfId="0" applyFont="1" applyAlignment="1" applyProtection="1">
      <alignment horizontal="center" vertical="center"/>
    </xf>
    <xf numFmtId="3" fontId="41" fillId="3" borderId="6" xfId="6" applyNumberFormat="1" applyFont="1" applyFill="1" applyBorder="1" applyAlignment="1" applyProtection="1">
      <alignment horizontal="right" vertical="center" wrapText="1"/>
      <protection locked="0"/>
    </xf>
    <xf numFmtId="3" fontId="41" fillId="3" borderId="1" xfId="6" applyNumberFormat="1" applyFont="1" applyFill="1" applyBorder="1" applyAlignment="1" applyProtection="1">
      <alignment horizontal="right" vertical="center" wrapText="1"/>
      <protection locked="0"/>
    </xf>
    <xf numFmtId="3" fontId="41" fillId="0" borderId="1" xfId="6" applyNumberFormat="1" applyFont="1" applyFill="1" applyBorder="1" applyAlignment="1" applyProtection="1">
      <alignment horizontal="right" vertical="center" wrapText="1"/>
      <protection locked="0"/>
    </xf>
    <xf numFmtId="3" fontId="44" fillId="2" borderId="1" xfId="6" applyNumberFormat="1" applyFont="1" applyFill="1" applyBorder="1" applyAlignment="1" applyProtection="1">
      <alignment horizontal="center" vertical="center" wrapText="1"/>
      <protection locked="0"/>
    </xf>
    <xf numFmtId="0" fontId="41" fillId="7" borderId="1" xfId="0" applyFont="1" applyFill="1" applyBorder="1" applyAlignment="1" applyProtection="1">
      <alignment horizontal="center" vertical="center" wrapText="1"/>
      <protection locked="0"/>
    </xf>
    <xf numFmtId="0" fontId="41" fillId="7" borderId="1" xfId="0" applyFont="1" applyFill="1" applyBorder="1" applyAlignment="1" applyProtection="1">
      <alignment horizontal="left" vertical="center" wrapText="1"/>
      <protection locked="0"/>
    </xf>
    <xf numFmtId="0" fontId="41" fillId="7" borderId="10" xfId="0" applyFont="1" applyFill="1" applyBorder="1" applyAlignment="1" applyProtection="1">
      <alignment horizontal="center" vertical="center" wrapText="1"/>
      <protection locked="0"/>
    </xf>
    <xf numFmtId="0" fontId="41" fillId="7" borderId="10" xfId="0" applyFont="1" applyFill="1" applyBorder="1" applyAlignment="1" applyProtection="1">
      <alignment horizontal="left" vertical="center" wrapText="1" indent="1"/>
      <protection locked="0"/>
    </xf>
    <xf numFmtId="0" fontId="41" fillId="0" borderId="0" xfId="0" applyFont="1" applyAlignment="1" applyProtection="1">
      <alignment vertical="center"/>
      <protection locked="0"/>
    </xf>
    <xf numFmtId="3" fontId="41" fillId="5" borderId="1" xfId="0" applyNumberFormat="1" applyFont="1" applyFill="1" applyBorder="1" applyAlignment="1" applyProtection="1">
      <alignment horizontal="center" vertical="center" wrapText="1"/>
    </xf>
    <xf numFmtId="3" fontId="42" fillId="2" borderId="1" xfId="1" applyNumberFormat="1" applyFont="1" applyFill="1" applyBorder="1" applyAlignment="1" applyProtection="1">
      <alignment horizontal="right" vertical="center"/>
      <protection locked="0"/>
    </xf>
    <xf numFmtId="3" fontId="41" fillId="3" borderId="1" xfId="1" applyNumberFormat="1" applyFont="1" applyFill="1" applyBorder="1" applyAlignment="1" applyProtection="1">
      <alignment horizontal="right" vertical="center"/>
      <protection locked="0"/>
    </xf>
    <xf numFmtId="3" fontId="42" fillId="2" borderId="1" xfId="6" applyNumberFormat="1" applyFont="1" applyFill="1" applyBorder="1" applyAlignment="1" applyProtection="1">
      <alignment horizontal="right" vertical="center"/>
      <protection locked="0"/>
    </xf>
    <xf numFmtId="3" fontId="41" fillId="0" borderId="1" xfId="0" applyNumberFormat="1" applyFont="1" applyBorder="1" applyAlignment="1" applyProtection="1">
      <alignment horizontal="right" vertical="center"/>
      <protection locked="0"/>
    </xf>
    <xf numFmtId="49" fontId="43" fillId="3" borderId="1" xfId="6" applyNumberFormat="1" applyFont="1" applyFill="1" applyBorder="1" applyAlignment="1" applyProtection="1">
      <alignment horizontal="left" vertical="center"/>
      <protection locked="0"/>
    </xf>
    <xf numFmtId="49" fontId="43" fillId="3" borderId="1" xfId="0" applyNumberFormat="1" applyFont="1" applyFill="1" applyBorder="1" applyAlignment="1" applyProtection="1">
      <alignment horizontal="left" vertical="center"/>
      <protection locked="0"/>
    </xf>
    <xf numFmtId="49" fontId="43" fillId="0" borderId="1" xfId="6" applyNumberFormat="1" applyFont="1" applyFill="1" applyBorder="1" applyAlignment="1" applyProtection="1">
      <alignment horizontal="left" vertical="center"/>
      <protection locked="0"/>
    </xf>
    <xf numFmtId="49" fontId="44" fillId="2" borderId="1" xfId="6" applyNumberFormat="1" applyFont="1" applyFill="1" applyBorder="1" applyAlignment="1" applyProtection="1">
      <alignment horizontal="left" vertical="center" wrapText="1"/>
      <protection locked="0"/>
    </xf>
    <xf numFmtId="3" fontId="41" fillId="3" borderId="3" xfId="6" applyNumberFormat="1" applyFont="1" applyFill="1" applyBorder="1" applyAlignment="1" applyProtection="1">
      <alignment horizontal="right" vertical="center" wrapText="1"/>
      <protection locked="0"/>
    </xf>
    <xf numFmtId="9" fontId="43" fillId="3" borderId="1" xfId="12" applyNumberFormat="1" applyFont="1" applyFill="1" applyBorder="1" applyAlignment="1" applyProtection="1">
      <alignment horizontal="center" vertical="center"/>
    </xf>
    <xf numFmtId="9" fontId="43" fillId="0" borderId="1" xfId="12" applyNumberFormat="1" applyFont="1" applyFill="1" applyBorder="1" applyAlignment="1" applyProtection="1">
      <alignment horizontal="center" vertical="center"/>
    </xf>
    <xf numFmtId="3" fontId="41" fillId="0" borderId="2" xfId="12" applyNumberFormat="1" applyFont="1" applyFill="1" applyBorder="1" applyAlignment="1" applyProtection="1">
      <alignment horizontal="right" vertical="center" wrapText="1"/>
    </xf>
    <xf numFmtId="49" fontId="43" fillId="3" borderId="1" xfId="12" applyNumberFormat="1" applyFont="1" applyFill="1" applyBorder="1" applyAlignment="1" applyProtection="1">
      <alignment horizontal="left" vertical="center"/>
    </xf>
    <xf numFmtId="49" fontId="43" fillId="0" borderId="1" xfId="12" applyNumberFormat="1" applyFont="1" applyFill="1" applyBorder="1" applyAlignment="1" applyProtection="1">
      <alignment horizontal="left" vertical="center"/>
    </xf>
    <xf numFmtId="3" fontId="43" fillId="0" borderId="1" xfId="6" applyNumberFormat="1" applyFont="1" applyFill="1" applyBorder="1" applyAlignment="1" applyProtection="1">
      <alignment horizontal="center" vertical="center"/>
      <protection locked="0"/>
    </xf>
    <xf numFmtId="9" fontId="43" fillId="0" borderId="1" xfId="12" applyNumberFormat="1" applyFont="1" applyFill="1" applyBorder="1" applyAlignment="1" applyProtection="1">
      <alignment horizontal="center" vertical="center"/>
      <protection locked="0"/>
    </xf>
    <xf numFmtId="3" fontId="43" fillId="3" borderId="1" xfId="6" applyNumberFormat="1" applyFont="1" applyFill="1" applyBorder="1" applyAlignment="1" applyProtection="1">
      <alignment horizontal="center" vertical="center"/>
      <protection locked="0"/>
    </xf>
    <xf numFmtId="9" fontId="43" fillId="3" borderId="1" xfId="12" applyNumberFormat="1" applyFont="1" applyFill="1" applyBorder="1" applyAlignment="1" applyProtection="1">
      <alignment horizontal="center" vertical="center"/>
      <protection locked="0"/>
    </xf>
    <xf numFmtId="3" fontId="43" fillId="3" borderId="1" xfId="0" applyNumberFormat="1" applyFont="1" applyFill="1" applyBorder="1" applyAlignment="1" applyProtection="1">
      <alignment horizontal="center" vertical="center"/>
      <protection locked="0"/>
    </xf>
    <xf numFmtId="3" fontId="43" fillId="0" borderId="2" xfId="12" applyNumberFormat="1" applyFont="1" applyFill="1" applyBorder="1" applyAlignment="1" applyProtection="1">
      <alignment horizontal="center" vertical="center" wrapText="1"/>
    </xf>
    <xf numFmtId="3" fontId="44" fillId="2" borderId="1" xfId="1" applyNumberFormat="1" applyFont="1" applyFill="1" applyBorder="1" applyAlignment="1" applyProtection="1">
      <alignment horizontal="center" vertical="center"/>
      <protection locked="0"/>
    </xf>
    <xf numFmtId="3" fontId="43" fillId="3" borderId="1" xfId="1" applyNumberFormat="1" applyFont="1" applyFill="1" applyBorder="1" applyAlignment="1" applyProtection="1">
      <alignment horizontal="center" vertical="center"/>
      <protection locked="0"/>
    </xf>
    <xf numFmtId="0" fontId="43" fillId="0" borderId="0" xfId="0" applyFont="1" applyAlignment="1" applyProtection="1">
      <alignment horizontal="center"/>
      <protection locked="0"/>
    </xf>
    <xf numFmtId="3" fontId="44" fillId="2" borderId="1" xfId="6" applyNumberFormat="1" applyFont="1" applyFill="1" applyBorder="1" applyAlignment="1" applyProtection="1">
      <alignment horizontal="center" vertical="center"/>
      <protection locked="0"/>
    </xf>
    <xf numFmtId="3" fontId="43" fillId="0" borderId="1" xfId="0" applyNumberFormat="1" applyFont="1" applyBorder="1" applyAlignment="1" applyProtection="1">
      <alignment horizontal="center" vertical="center"/>
      <protection locked="0"/>
    </xf>
    <xf numFmtId="0" fontId="52" fillId="0" borderId="0" xfId="1" applyFont="1" applyAlignment="1">
      <alignment vertical="center"/>
    </xf>
    <xf numFmtId="49" fontId="52" fillId="0" borderId="0" xfId="1" applyNumberFormat="1" applyFont="1" applyAlignment="1">
      <alignment horizontal="center" vertical="center"/>
    </xf>
    <xf numFmtId="0" fontId="51" fillId="0" borderId="0" xfId="1" applyFont="1" applyAlignment="1">
      <alignment vertical="center"/>
    </xf>
    <xf numFmtId="49" fontId="51" fillId="2" borderId="1" xfId="1" applyNumberFormat="1" applyFont="1" applyFill="1" applyBorder="1" applyAlignment="1">
      <alignment horizontal="center" vertical="center"/>
    </xf>
    <xf numFmtId="49" fontId="41" fillId="0" borderId="0" xfId="6" applyNumberFormat="1" applyFont="1" applyFill="1" applyBorder="1" applyAlignment="1" applyProtection="1">
      <alignment horizontal="left" vertical="center"/>
    </xf>
    <xf numFmtId="0" fontId="41" fillId="0" borderId="1" xfId="6" applyFont="1" applyBorder="1" applyAlignment="1">
      <alignment horizontal="center" vertical="center"/>
    </xf>
    <xf numFmtId="3" fontId="41" fillId="0" borderId="1" xfId="1" applyNumberFormat="1" applyFont="1" applyBorder="1" applyAlignment="1">
      <alignment horizontal="center" vertical="center" wrapText="1"/>
    </xf>
    <xf numFmtId="3" fontId="41" fillId="0" borderId="1" xfId="0" applyNumberFormat="1" applyFont="1" applyBorder="1" applyAlignment="1">
      <alignment horizontal="center" vertical="center" wrapText="1"/>
    </xf>
    <xf numFmtId="3" fontId="43" fillId="5" borderId="1" xfId="0" applyNumberFormat="1" applyFont="1" applyFill="1" applyBorder="1" applyAlignment="1">
      <alignment horizontal="center" vertical="center" wrapText="1"/>
    </xf>
    <xf numFmtId="0" fontId="41" fillId="0" borderId="0" xfId="6" applyFont="1"/>
    <xf numFmtId="3" fontId="43" fillId="5" borderId="1" xfId="12" applyNumberFormat="1" applyFont="1" applyFill="1" applyBorder="1" applyAlignment="1">
      <alignment horizontal="center" vertical="center" wrapText="1"/>
    </xf>
    <xf numFmtId="3" fontId="43" fillId="0" borderId="1" xfId="0" applyNumberFormat="1"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1" xfId="0" applyFont="1" applyFill="1" applyBorder="1" applyAlignment="1">
      <alignment horizontal="left" vertical="center" wrapText="1"/>
    </xf>
    <xf numFmtId="3" fontId="42" fillId="2" borderId="1" xfId="6" applyNumberFormat="1" applyFont="1" applyFill="1" applyBorder="1" applyAlignment="1">
      <alignment horizontal="right" vertical="center" wrapText="1"/>
    </xf>
    <xf numFmtId="3" fontId="44" fillId="2" borderId="1" xfId="6" applyNumberFormat="1" applyFont="1" applyFill="1" applyBorder="1" applyAlignment="1">
      <alignment horizontal="center" vertical="center" wrapText="1"/>
    </xf>
    <xf numFmtId="0" fontId="41" fillId="0" borderId="1" xfId="6" applyFont="1" applyBorder="1" applyAlignment="1">
      <alignment horizontal="left" vertical="center" wrapText="1"/>
    </xf>
    <xf numFmtId="3" fontId="41" fillId="0" borderId="1" xfId="6" applyNumberFormat="1" applyFont="1" applyBorder="1" applyAlignment="1">
      <alignment horizontal="right" vertical="center" wrapText="1"/>
    </xf>
    <xf numFmtId="0" fontId="41" fillId="0" borderId="1" xfId="6" applyFont="1" applyBorder="1" applyAlignment="1" applyProtection="1">
      <alignment horizontal="center" vertical="center"/>
      <protection locked="0"/>
    </xf>
    <xf numFmtId="0" fontId="41" fillId="0" borderId="1" xfId="6" applyFont="1" applyBorder="1" applyAlignment="1" applyProtection="1">
      <alignment horizontal="left" vertical="center" wrapText="1"/>
      <protection locked="0"/>
    </xf>
    <xf numFmtId="3" fontId="41" fillId="0" borderId="1" xfId="6" applyNumberFormat="1" applyFont="1" applyBorder="1" applyAlignment="1" applyProtection="1">
      <alignment horizontal="right" vertical="center" wrapText="1"/>
      <protection locked="0"/>
    </xf>
    <xf numFmtId="0" fontId="41" fillId="0" borderId="0" xfId="6" applyFont="1" applyProtection="1">
      <protection locked="0"/>
    </xf>
    <xf numFmtId="0" fontId="41" fillId="7" borderId="1" xfId="0" applyFont="1" applyFill="1" applyBorder="1" applyAlignment="1">
      <alignment horizontal="center" vertical="center" wrapText="1"/>
    </xf>
    <xf numFmtId="0" fontId="41" fillId="7" borderId="1" xfId="0" applyFont="1" applyFill="1" applyBorder="1" applyAlignment="1">
      <alignment horizontal="left" vertical="center" wrapText="1"/>
    </xf>
    <xf numFmtId="0" fontId="41" fillId="7" borderId="10" xfId="0" applyFont="1" applyFill="1" applyBorder="1" applyAlignment="1">
      <alignment horizontal="center" vertical="center" wrapText="1"/>
    </xf>
    <xf numFmtId="0" fontId="41" fillId="7" borderId="10" xfId="0" applyFont="1" applyFill="1" applyBorder="1" applyAlignment="1">
      <alignment horizontal="left" vertical="center" wrapText="1"/>
    </xf>
    <xf numFmtId="3" fontId="41" fillId="0" borderId="1" xfId="6" applyNumberFormat="1" applyFont="1" applyBorder="1" applyAlignment="1" applyProtection="1">
      <alignment horizontal="right" vertical="center"/>
      <protection locked="0"/>
    </xf>
    <xf numFmtId="3" fontId="43" fillId="0" borderId="1" xfId="6" applyNumberFormat="1" applyFont="1" applyBorder="1" applyAlignment="1" applyProtection="1">
      <alignment horizontal="center" vertical="center"/>
      <protection locked="0"/>
    </xf>
    <xf numFmtId="9" fontId="43" fillId="0" borderId="1" xfId="12" applyFont="1" applyBorder="1" applyAlignment="1" applyProtection="1">
      <alignment horizontal="center" vertical="center"/>
      <protection locked="0"/>
    </xf>
    <xf numFmtId="0" fontId="41" fillId="7" borderId="11" xfId="0" applyFont="1" applyFill="1" applyBorder="1" applyAlignment="1">
      <alignment horizontal="center" vertical="center" wrapText="1"/>
    </xf>
    <xf numFmtId="0" fontId="41" fillId="7" borderId="11" xfId="0" applyFont="1" applyFill="1" applyBorder="1" applyAlignment="1">
      <alignment horizontal="left" vertical="center" wrapText="1"/>
    </xf>
    <xf numFmtId="3" fontId="42" fillId="2" borderId="1" xfId="6" applyNumberFormat="1" applyFont="1" applyFill="1" applyBorder="1" applyAlignment="1">
      <alignment horizontal="right"/>
    </xf>
    <xf numFmtId="0" fontId="50" fillId="0" borderId="0" xfId="0" applyFont="1" applyAlignment="1">
      <alignment horizontal="center" vertical="center" wrapText="1"/>
    </xf>
    <xf numFmtId="0" fontId="41" fillId="0" borderId="12" xfId="6" applyFont="1" applyBorder="1"/>
    <xf numFmtId="3" fontId="41" fillId="0" borderId="0" xfId="0" applyNumberFormat="1" applyFont="1" applyAlignment="1">
      <alignment vertical="center"/>
    </xf>
    <xf numFmtId="49" fontId="56" fillId="0" borderId="1" xfId="1" applyNumberFormat="1" applyFont="1" applyBorder="1" applyAlignment="1">
      <alignment horizontal="center" vertical="center"/>
    </xf>
    <xf numFmtId="0" fontId="56" fillId="0" borderId="1" xfId="1" applyFont="1" applyBorder="1" applyAlignment="1">
      <alignment horizontal="center" vertical="center" wrapText="1"/>
    </xf>
    <xf numFmtId="49" fontId="56" fillId="2" borderId="1" xfId="5" applyNumberFormat="1" applyFont="1" applyFill="1" applyBorder="1" applyAlignment="1">
      <alignment horizontal="center" vertical="center"/>
    </xf>
    <xf numFmtId="3" fontId="56" fillId="2" borderId="1" xfId="6" applyNumberFormat="1" applyFont="1" applyFill="1" applyBorder="1" applyAlignment="1">
      <alignment horizontal="left" vertical="center" wrapText="1"/>
    </xf>
    <xf numFmtId="49" fontId="56" fillId="4" borderId="4" xfId="5" applyNumberFormat="1" applyFont="1" applyFill="1" applyBorder="1" applyAlignment="1">
      <alignment horizontal="center" vertical="center"/>
    </xf>
    <xf numFmtId="3" fontId="56" fillId="4" borderId="4" xfId="6" applyNumberFormat="1" applyFont="1" applyFill="1" applyBorder="1" applyAlignment="1">
      <alignment vertical="center" wrapText="1"/>
    </xf>
    <xf numFmtId="49" fontId="57" fillId="0" borderId="1" xfId="5" applyNumberFormat="1" applyFont="1" applyBorder="1" applyAlignment="1">
      <alignment horizontal="center" vertical="center"/>
    </xf>
    <xf numFmtId="0" fontId="57" fillId="0" borderId="1" xfId="1" applyFont="1" applyBorder="1" applyAlignment="1">
      <alignment vertical="center"/>
    </xf>
    <xf numFmtId="49" fontId="56" fillId="4" borderId="1" xfId="5" applyNumberFormat="1" applyFont="1" applyFill="1" applyBorder="1" applyAlignment="1">
      <alignment horizontal="center" vertical="center"/>
    </xf>
    <xf numFmtId="3" fontId="56" fillId="4" borderId="1" xfId="6" applyNumberFormat="1" applyFont="1" applyFill="1" applyBorder="1" applyAlignment="1">
      <alignment vertical="center" wrapText="1"/>
    </xf>
    <xf numFmtId="3" fontId="57" fillId="0" borderId="1" xfId="6" applyNumberFormat="1" applyFont="1" applyBorder="1" applyAlignment="1">
      <alignment vertical="center" wrapText="1"/>
    </xf>
    <xf numFmtId="0" fontId="57" fillId="0" borderId="1" xfId="0" applyFont="1" applyBorder="1" applyAlignment="1">
      <alignment vertical="center" wrapText="1"/>
    </xf>
    <xf numFmtId="49" fontId="56" fillId="0" borderId="1" xfId="5" applyNumberFormat="1" applyFont="1" applyBorder="1" applyAlignment="1">
      <alignment horizontal="center" vertical="center"/>
    </xf>
    <xf numFmtId="49" fontId="57" fillId="0" borderId="5" xfId="5" applyNumberFormat="1" applyFont="1" applyBorder="1" applyAlignment="1">
      <alignment horizontal="center" vertical="center"/>
    </xf>
    <xf numFmtId="0" fontId="52" fillId="0" borderId="1" xfId="1" applyFont="1" applyBorder="1" applyAlignment="1">
      <alignment vertical="center"/>
    </xf>
    <xf numFmtId="3" fontId="56" fillId="4" borderId="7" xfId="6" applyNumberFormat="1" applyFont="1" applyFill="1" applyBorder="1" applyAlignment="1">
      <alignment vertical="center" wrapText="1"/>
    </xf>
    <xf numFmtId="3" fontId="56" fillId="0" borderId="1" xfId="6" applyNumberFormat="1" applyFont="1" applyBorder="1" applyAlignment="1">
      <alignment horizontal="center" vertical="center" wrapText="1"/>
    </xf>
    <xf numFmtId="49" fontId="56" fillId="2" borderId="1" xfId="1" applyNumberFormat="1" applyFont="1" applyFill="1" applyBorder="1" applyAlignment="1">
      <alignment horizontal="center" vertical="center"/>
    </xf>
    <xf numFmtId="3" fontId="56" fillId="2" borderId="1" xfId="6" applyNumberFormat="1" applyFont="1" applyFill="1" applyBorder="1" applyAlignment="1">
      <alignment vertical="center" wrapText="1"/>
    </xf>
    <xf numFmtId="49" fontId="57" fillId="0" borderId="1" xfId="1" applyNumberFormat="1" applyFont="1" applyBorder="1" applyAlignment="1">
      <alignment horizontal="center" vertical="center"/>
    </xf>
    <xf numFmtId="3" fontId="57" fillId="3" borderId="1" xfId="6" applyNumberFormat="1" applyFont="1" applyFill="1" applyBorder="1" applyAlignment="1">
      <alignment vertical="center" wrapText="1"/>
    </xf>
    <xf numFmtId="0" fontId="56" fillId="2" borderId="1" xfId="1" applyFont="1" applyFill="1" applyBorder="1" applyAlignment="1">
      <alignment horizontal="left" vertical="center"/>
    </xf>
    <xf numFmtId="0" fontId="41" fillId="0" borderId="1" xfId="1467" applyFont="1" applyBorder="1" applyAlignment="1">
      <alignment horizontal="center" vertical="center"/>
    </xf>
    <xf numFmtId="3" fontId="41" fillId="3" borderId="1" xfId="6" applyNumberFormat="1" applyFont="1" applyFill="1" applyBorder="1" applyAlignment="1">
      <alignment horizontal="center" vertical="center" wrapText="1"/>
    </xf>
    <xf numFmtId="0" fontId="41" fillId="0" borderId="0" xfId="0" applyFont="1"/>
    <xf numFmtId="0" fontId="41" fillId="0" borderId="1" xfId="0" applyFont="1" applyBorder="1" applyAlignment="1">
      <alignment horizontal="center" vertical="center"/>
    </xf>
    <xf numFmtId="0" fontId="42" fillId="2" borderId="1" xfId="1" applyFont="1" applyFill="1" applyBorder="1" applyAlignment="1">
      <alignment horizontal="left" vertical="center"/>
    </xf>
    <xf numFmtId="3" fontId="41" fillId="2" borderId="1" xfId="6" applyNumberFormat="1" applyFont="1" applyFill="1" applyBorder="1" applyAlignment="1">
      <alignment horizontal="left" vertical="center" wrapText="1"/>
    </xf>
    <xf numFmtId="3" fontId="42" fillId="2" borderId="1" xfId="1" applyNumberFormat="1" applyFont="1" applyFill="1" applyBorder="1" applyAlignment="1">
      <alignment horizontal="right" vertical="center"/>
    </xf>
    <xf numFmtId="3" fontId="44" fillId="2" borderId="1" xfId="1" applyNumberFormat="1" applyFont="1" applyFill="1" applyBorder="1" applyAlignment="1">
      <alignment horizontal="center" vertical="center"/>
    </xf>
    <xf numFmtId="9" fontId="44" fillId="2" borderId="1" xfId="12" applyFont="1" applyFill="1" applyBorder="1" applyAlignment="1">
      <alignment horizontal="center" vertical="center"/>
    </xf>
    <xf numFmtId="0" fontId="41" fillId="3" borderId="1" xfId="1" applyFont="1" applyFill="1" applyBorder="1" applyAlignment="1">
      <alignment horizontal="left" vertical="center"/>
    </xf>
    <xf numFmtId="3" fontId="41" fillId="3" borderId="1" xfId="6" applyNumberFormat="1" applyFont="1" applyFill="1" applyBorder="1" applyAlignment="1">
      <alignment horizontal="left" vertical="center" wrapText="1"/>
    </xf>
    <xf numFmtId="3" fontId="41" fillId="0" borderId="1" xfId="1" applyNumberFormat="1" applyFont="1" applyBorder="1" applyAlignment="1" applyProtection="1">
      <alignment horizontal="right" vertical="center"/>
      <protection locked="0"/>
    </xf>
    <xf numFmtId="3" fontId="43" fillId="0" borderId="1" xfId="1" applyNumberFormat="1" applyFont="1" applyBorder="1" applyAlignment="1" applyProtection="1">
      <alignment horizontal="center" vertical="center"/>
      <protection locked="0"/>
    </xf>
    <xf numFmtId="0" fontId="41" fillId="2" borderId="1" xfId="1" applyFont="1" applyFill="1" applyBorder="1" applyAlignment="1">
      <alignment horizontal="left" vertical="center"/>
    </xf>
    <xf numFmtId="3" fontId="41" fillId="2" borderId="1" xfId="1" applyNumberFormat="1" applyFont="1" applyFill="1" applyBorder="1" applyAlignment="1">
      <alignment horizontal="right" vertical="center"/>
    </xf>
    <xf numFmtId="3" fontId="43" fillId="2" borderId="1" xfId="1" applyNumberFormat="1" applyFont="1" applyFill="1" applyBorder="1" applyAlignment="1">
      <alignment horizontal="center" vertical="center"/>
    </xf>
    <xf numFmtId="9" fontId="43" fillId="2" borderId="1" xfId="12" applyFont="1" applyFill="1" applyBorder="1" applyAlignment="1">
      <alignment horizontal="center" vertical="center"/>
    </xf>
    <xf numFmtId="3" fontId="42" fillId="2" borderId="1" xfId="6" applyNumberFormat="1" applyFont="1" applyFill="1" applyBorder="1" applyAlignment="1">
      <alignment horizontal="left" vertical="center" wrapText="1"/>
    </xf>
    <xf numFmtId="9" fontId="44" fillId="2" borderId="1" xfId="12" applyFont="1" applyFill="1" applyBorder="1" applyAlignment="1" applyProtection="1">
      <alignment horizontal="center" vertical="center"/>
      <protection locked="0"/>
    </xf>
    <xf numFmtId="9" fontId="43" fillId="3" borderId="1" xfId="12" applyFont="1" applyFill="1" applyBorder="1" applyAlignment="1" applyProtection="1">
      <alignment horizontal="center" vertical="center"/>
      <protection locked="0"/>
    </xf>
    <xf numFmtId="0" fontId="41" fillId="0" borderId="0" xfId="0" applyFont="1" applyAlignment="1" applyProtection="1">
      <alignment horizontal="left"/>
      <protection locked="0"/>
    </xf>
    <xf numFmtId="0" fontId="41" fillId="3" borderId="1" xfId="0" applyFont="1" applyFill="1" applyBorder="1" applyAlignment="1">
      <alignment horizontal="left" vertical="center"/>
    </xf>
    <xf numFmtId="0" fontId="42" fillId="2" borderId="1" xfId="6" applyFont="1" applyFill="1" applyBorder="1" applyAlignment="1">
      <alignment horizontal="left" vertical="center" wrapText="1"/>
    </xf>
    <xf numFmtId="3" fontId="42" fillId="2" borderId="1" xfId="6" applyNumberFormat="1" applyFont="1" applyFill="1" applyBorder="1" applyAlignment="1">
      <alignment horizontal="left" vertical="center"/>
    </xf>
    <xf numFmtId="0" fontId="42" fillId="0" borderId="0" xfId="1" applyFont="1" applyAlignment="1">
      <alignment horizontal="left" vertical="center"/>
    </xf>
    <xf numFmtId="3" fontId="42" fillId="0" borderId="0" xfId="6" applyNumberFormat="1" applyFont="1" applyAlignment="1">
      <alignment horizontal="left" vertical="center"/>
    </xf>
    <xf numFmtId="3" fontId="42" fillId="0" borderId="0" xfId="1" applyNumberFormat="1" applyFont="1" applyAlignment="1">
      <alignment horizontal="right" vertical="center"/>
    </xf>
    <xf numFmtId="3" fontId="44" fillId="0" borderId="0" xfId="1" applyNumberFormat="1" applyFont="1" applyAlignment="1">
      <alignment horizontal="center" vertical="center"/>
    </xf>
    <xf numFmtId="9" fontId="44" fillId="0" borderId="0" xfId="12" applyFont="1" applyAlignment="1">
      <alignment horizontal="center" vertical="center"/>
    </xf>
    <xf numFmtId="0" fontId="41" fillId="0" borderId="0" xfId="1467" applyFont="1" applyAlignment="1">
      <alignment vertical="center"/>
    </xf>
    <xf numFmtId="0" fontId="46" fillId="0" borderId="0" xfId="1467" applyFont="1" applyAlignment="1">
      <alignment horizontal="center" vertical="center"/>
    </xf>
    <xf numFmtId="0" fontId="46" fillId="0" borderId="0" xfId="1467" applyFont="1" applyAlignment="1">
      <alignment vertical="center" wrapText="1"/>
    </xf>
    <xf numFmtId="3" fontId="46" fillId="0" borderId="0" xfId="1467" applyNumberFormat="1" applyFont="1" applyAlignment="1">
      <alignment horizontal="center" vertical="center"/>
    </xf>
    <xf numFmtId="0" fontId="40" fillId="0" borderId="0" xfId="1467" applyFont="1" applyAlignment="1">
      <alignment vertical="center"/>
    </xf>
    <xf numFmtId="0" fontId="47" fillId="0" borderId="0" xfId="1467" applyFont="1" applyAlignment="1">
      <alignment horizontal="center" vertical="center"/>
    </xf>
    <xf numFmtId="0" fontId="47" fillId="0" borderId="0" xfId="1467" applyFont="1" applyAlignment="1">
      <alignment vertical="center"/>
    </xf>
    <xf numFmtId="0" fontId="47" fillId="0" borderId="0" xfId="1467" applyFont="1" applyAlignment="1" applyProtection="1">
      <alignment vertical="center"/>
      <protection locked="0"/>
    </xf>
    <xf numFmtId="3" fontId="41" fillId="0" borderId="1" xfId="0" applyNumberFormat="1" applyFont="1" applyBorder="1" applyAlignment="1" applyProtection="1">
      <alignment horizontal="right" vertical="center" wrapText="1"/>
      <protection locked="0"/>
    </xf>
    <xf numFmtId="0" fontId="42" fillId="2" borderId="3" xfId="0" applyFont="1" applyFill="1" applyBorder="1" applyAlignment="1">
      <alignment horizontal="center" vertical="center" wrapText="1"/>
    </xf>
    <xf numFmtId="3" fontId="42" fillId="2" borderId="1" xfId="6" applyNumberFormat="1" applyFont="1" applyFill="1" applyBorder="1" applyAlignment="1">
      <alignment horizontal="center" vertical="center"/>
    </xf>
    <xf numFmtId="0" fontId="42" fillId="32" borderId="3" xfId="6" applyFont="1" applyFill="1" applyBorder="1" applyAlignment="1">
      <alignment horizontal="center" vertical="center" wrapText="1"/>
    </xf>
    <xf numFmtId="3" fontId="42" fillId="32" borderId="1" xfId="6" applyNumberFormat="1" applyFont="1" applyFill="1" applyBorder="1" applyAlignment="1">
      <alignment horizontal="center" vertical="center"/>
    </xf>
    <xf numFmtId="3" fontId="44" fillId="2" borderId="3" xfId="6" applyNumberFormat="1" applyFont="1" applyFill="1" applyBorder="1" applyAlignment="1">
      <alignment horizontal="center" vertical="center"/>
    </xf>
    <xf numFmtId="49" fontId="44" fillId="2" borderId="1" xfId="12" applyNumberFormat="1" applyFont="1" applyFill="1" applyBorder="1" applyAlignment="1">
      <alignment horizontal="left" vertical="center" wrapText="1"/>
    </xf>
    <xf numFmtId="49" fontId="43" fillId="3" borderId="1" xfId="12" applyNumberFormat="1" applyFont="1" applyFill="1" applyBorder="1" applyAlignment="1">
      <alignment horizontal="left" vertical="center"/>
    </xf>
    <xf numFmtId="49" fontId="43" fillId="33" borderId="1" xfId="12" applyNumberFormat="1" applyFont="1" applyFill="1" applyBorder="1" applyAlignment="1">
      <alignment horizontal="left" vertical="center" wrapText="1"/>
    </xf>
    <xf numFmtId="49" fontId="43" fillId="33" borderId="1" xfId="6" applyNumberFormat="1" applyFont="1" applyFill="1" applyBorder="1" applyAlignment="1" applyProtection="1">
      <alignment horizontal="left" vertical="center" wrapText="1"/>
      <protection locked="0"/>
    </xf>
    <xf numFmtId="3" fontId="44" fillId="4" borderId="3" xfId="6" applyNumberFormat="1" applyFont="1" applyFill="1" applyBorder="1" applyAlignment="1">
      <alignment horizontal="center" vertical="center"/>
    </xf>
    <xf numFmtId="49" fontId="43" fillId="0" borderId="1" xfId="12" applyNumberFormat="1" applyFont="1" applyBorder="1" applyAlignment="1">
      <alignment horizontal="left" vertical="center" wrapText="1"/>
    </xf>
    <xf numFmtId="3" fontId="44" fillId="4" borderId="3" xfId="6" applyNumberFormat="1" applyFont="1" applyFill="1" applyBorder="1" applyAlignment="1">
      <alignment horizontal="center" vertical="center" wrapText="1"/>
    </xf>
    <xf numFmtId="49" fontId="43" fillId="0" borderId="2" xfId="0" applyNumberFormat="1" applyFont="1" applyBorder="1" applyAlignment="1" applyProtection="1">
      <alignment horizontal="left" vertical="center" wrapText="1"/>
      <protection locked="0"/>
    </xf>
    <xf numFmtId="49" fontId="43" fillId="0" borderId="1" xfId="6" applyNumberFormat="1" applyFont="1" applyBorder="1" applyAlignment="1" applyProtection="1">
      <alignment horizontal="left" vertical="center" wrapText="1"/>
      <protection locked="0"/>
    </xf>
    <xf numFmtId="3" fontId="52" fillId="0" borderId="1" xfId="0" applyNumberFormat="1" applyFont="1" applyBorder="1" applyAlignment="1">
      <alignment horizontal="center" vertical="center" wrapText="1"/>
    </xf>
    <xf numFmtId="49" fontId="41" fillId="0" borderId="5" xfId="6" applyNumberFormat="1" applyFont="1" applyBorder="1" applyAlignment="1">
      <alignment horizontal="center" vertical="center"/>
    </xf>
    <xf numFmtId="0" fontId="41" fillId="0" borderId="4" xfId="6" applyFont="1" applyBorder="1" applyAlignment="1">
      <alignment vertical="center" wrapText="1"/>
    </xf>
    <xf numFmtId="3" fontId="41" fillId="0" borderId="4" xfId="6" applyNumberFormat="1" applyFont="1" applyBorder="1" applyAlignment="1">
      <alignment horizontal="right" vertical="center" wrapText="1"/>
    </xf>
    <xf numFmtId="3" fontId="41" fillId="3" borderId="1" xfId="6" applyNumberFormat="1" applyFont="1" applyFill="1" applyBorder="1" applyAlignment="1">
      <alignment horizontal="right" vertical="center"/>
    </xf>
    <xf numFmtId="3" fontId="43" fillId="3" borderId="1" xfId="6" applyNumberFormat="1" applyFont="1" applyFill="1" applyBorder="1" applyAlignment="1">
      <alignment horizontal="center" vertical="center"/>
    </xf>
    <xf numFmtId="9" fontId="43" fillId="3" borderId="1" xfId="12" applyFont="1" applyFill="1" applyBorder="1" applyAlignment="1" applyProtection="1">
      <alignment horizontal="center" vertical="center"/>
    </xf>
    <xf numFmtId="0" fontId="41" fillId="0" borderId="0" xfId="0" applyFont="1" applyAlignment="1">
      <alignment vertical="center"/>
    </xf>
    <xf numFmtId="0" fontId="41" fillId="0" borderId="1" xfId="0" applyFont="1" applyBorder="1" applyAlignment="1">
      <alignment horizontal="left" vertical="center" wrapText="1" indent="2" readingOrder="1"/>
    </xf>
    <xf numFmtId="3" fontId="41" fillId="0" borderId="1" xfId="0" applyNumberFormat="1" applyFont="1" applyBorder="1" applyAlignment="1">
      <alignment horizontal="right" vertical="center" wrapText="1"/>
    </xf>
    <xf numFmtId="49" fontId="41" fillId="0" borderId="5" xfId="6" applyNumberFormat="1" applyFont="1" applyBorder="1" applyAlignment="1">
      <alignment horizontal="right" vertical="center"/>
    </xf>
    <xf numFmtId="0" fontId="43" fillId="0" borderId="1" xfId="0" applyFont="1" applyBorder="1" applyAlignment="1">
      <alignment horizontal="left" vertical="center" wrapText="1" indent="4" readingOrder="1"/>
    </xf>
    <xf numFmtId="0" fontId="41" fillId="0" borderId="6" xfId="0" applyFont="1" applyBorder="1" applyAlignment="1">
      <alignment horizontal="left" vertical="center" wrapText="1" readingOrder="1"/>
    </xf>
    <xf numFmtId="3" fontId="41" fillId="0" borderId="2" xfId="0" applyNumberFormat="1" applyFont="1" applyBorder="1" applyAlignment="1">
      <alignment horizontal="right" vertical="center" wrapText="1"/>
    </xf>
    <xf numFmtId="3" fontId="43" fillId="0" borderId="2" xfId="0" applyNumberFormat="1" applyFont="1" applyBorder="1" applyAlignment="1">
      <alignment horizontal="center" vertical="center" wrapText="1"/>
    </xf>
    <xf numFmtId="3" fontId="43" fillId="0" borderId="2" xfId="0" applyNumberFormat="1" applyFont="1" applyBorder="1" applyAlignment="1" applyProtection="1">
      <alignment horizontal="center" vertical="center" wrapText="1"/>
      <protection locked="0"/>
    </xf>
    <xf numFmtId="9" fontId="43" fillId="0" borderId="2" xfId="12" applyFont="1" applyFill="1" applyBorder="1" applyAlignment="1" applyProtection="1">
      <alignment horizontal="center" vertical="center" wrapText="1"/>
      <protection locked="0"/>
    </xf>
    <xf numFmtId="3" fontId="41" fillId="0" borderId="2" xfId="0" applyNumberFormat="1" applyFont="1" applyBorder="1" applyAlignment="1" applyProtection="1">
      <alignment horizontal="right" vertical="center" wrapText="1"/>
      <protection locked="0"/>
    </xf>
    <xf numFmtId="49" fontId="42" fillId="4" borderId="5" xfId="6" applyNumberFormat="1" applyFont="1" applyFill="1" applyBorder="1" applyAlignment="1">
      <alignment horizontal="center" vertical="center"/>
    </xf>
    <xf numFmtId="0" fontId="42" fillId="4" borderId="6" xfId="0" applyFont="1" applyFill="1" applyBorder="1" applyAlignment="1">
      <alignment horizontal="left" vertical="center" wrapText="1" readingOrder="1"/>
    </xf>
    <xf numFmtId="0" fontId="42" fillId="4" borderId="2" xfId="0" applyFont="1" applyFill="1" applyBorder="1" applyAlignment="1">
      <alignment horizontal="center" vertical="center" wrapText="1"/>
    </xf>
    <xf numFmtId="3" fontId="42" fillId="4" borderId="1" xfId="6" applyNumberFormat="1" applyFont="1" applyFill="1" applyBorder="1" applyAlignment="1">
      <alignment horizontal="center" vertical="center"/>
    </xf>
    <xf numFmtId="49" fontId="41" fillId="3" borderId="1" xfId="6" applyNumberFormat="1" applyFont="1" applyFill="1" applyBorder="1" applyAlignment="1">
      <alignment horizontal="center" vertical="center"/>
    </xf>
    <xf numFmtId="3" fontId="41" fillId="3" borderId="6" xfId="6" applyNumberFormat="1" applyFont="1" applyFill="1" applyBorder="1" applyAlignment="1">
      <alignment vertical="center" wrapText="1"/>
    </xf>
    <xf numFmtId="3" fontId="41" fillId="3" borderId="1" xfId="6" applyNumberFormat="1" applyFont="1" applyFill="1" applyBorder="1" applyAlignment="1">
      <alignment vertical="center" wrapText="1"/>
    </xf>
    <xf numFmtId="49" fontId="41" fillId="0" borderId="1" xfId="6" applyNumberFormat="1" applyFont="1" applyBorder="1" applyAlignment="1">
      <alignment horizontal="center" vertical="center"/>
    </xf>
    <xf numFmtId="3" fontId="41" fillId="0" borderId="1" xfId="6" applyNumberFormat="1" applyFont="1" applyBorder="1" applyAlignment="1">
      <alignment vertical="center" wrapText="1"/>
    </xf>
    <xf numFmtId="9" fontId="43" fillId="0" borderId="1" xfId="12" applyFont="1" applyFill="1" applyBorder="1" applyAlignment="1" applyProtection="1">
      <alignment horizontal="center" vertical="center"/>
    </xf>
    <xf numFmtId="9" fontId="43" fillId="0" borderId="1" xfId="12" applyFont="1" applyFill="1" applyBorder="1" applyAlignment="1" applyProtection="1">
      <alignment horizontal="center" vertical="center"/>
      <protection locked="0"/>
    </xf>
    <xf numFmtId="3" fontId="41" fillId="3" borderId="6" xfId="6" applyNumberFormat="1" applyFont="1" applyFill="1" applyBorder="1" applyAlignment="1">
      <alignment horizontal="left" vertical="center" wrapText="1"/>
    </xf>
    <xf numFmtId="49" fontId="41" fillId="3" borderId="1" xfId="6" applyNumberFormat="1" applyFont="1" applyFill="1" applyBorder="1" applyAlignment="1">
      <alignment horizontal="right" vertical="center"/>
    </xf>
    <xf numFmtId="3" fontId="43" fillId="3" borderId="6" xfId="6" applyNumberFormat="1" applyFont="1" applyFill="1" applyBorder="1" applyAlignment="1">
      <alignment horizontal="left" vertical="center" wrapText="1" indent="2"/>
    </xf>
    <xf numFmtId="3" fontId="41" fillId="0" borderId="6" xfId="0" applyNumberFormat="1" applyFont="1" applyBorder="1" applyAlignment="1" applyProtection="1">
      <alignment horizontal="right" vertical="center" wrapText="1"/>
      <protection locked="0"/>
    </xf>
    <xf numFmtId="49" fontId="42" fillId="4" borderId="1" xfId="6" applyNumberFormat="1" applyFont="1" applyFill="1" applyBorder="1" applyAlignment="1">
      <alignment horizontal="center" vertical="center"/>
    </xf>
    <xf numFmtId="3" fontId="42" fillId="4" borderId="1" xfId="6" applyNumberFormat="1" applyFont="1" applyFill="1" applyBorder="1" applyAlignment="1">
      <alignment vertical="center" wrapText="1"/>
    </xf>
    <xf numFmtId="3" fontId="42" fillId="4" borderId="3" xfId="6" applyNumberFormat="1" applyFont="1" applyFill="1" applyBorder="1" applyAlignment="1">
      <alignment horizontal="center" vertical="center" wrapText="1"/>
    </xf>
    <xf numFmtId="3" fontId="41" fillId="3" borderId="1" xfId="6" applyNumberFormat="1" applyFont="1" applyFill="1" applyBorder="1" applyAlignment="1">
      <alignment horizontal="right" vertical="center" wrapText="1"/>
    </xf>
    <xf numFmtId="3" fontId="41" fillId="3" borderId="1" xfId="0" applyNumberFormat="1" applyFont="1" applyFill="1" applyBorder="1" applyAlignment="1">
      <alignment horizontal="right" vertical="center"/>
    </xf>
    <xf numFmtId="3" fontId="43" fillId="3" borderId="1" xfId="6" applyNumberFormat="1" applyFont="1" applyFill="1" applyBorder="1" applyAlignment="1">
      <alignment horizontal="left" vertical="center" wrapText="1" indent="2"/>
    </xf>
    <xf numFmtId="49" fontId="41" fillId="3" borderId="5" xfId="6" applyNumberFormat="1" applyFont="1" applyFill="1" applyBorder="1" applyAlignment="1">
      <alignment horizontal="center" vertical="center"/>
    </xf>
    <xf numFmtId="3" fontId="43" fillId="0" borderId="4" xfId="6" applyNumberFormat="1" applyFont="1" applyBorder="1" applyAlignment="1">
      <alignment horizontal="left" vertical="center" wrapText="1" indent="2"/>
    </xf>
    <xf numFmtId="3" fontId="41" fillId="0" borderId="9" xfId="6" applyNumberFormat="1" applyFont="1" applyBorder="1" applyAlignment="1" applyProtection="1">
      <alignment horizontal="right" vertical="center" wrapText="1"/>
      <protection locked="0"/>
    </xf>
    <xf numFmtId="9" fontId="43" fillId="3" borderId="3" xfId="12" applyFont="1" applyFill="1" applyBorder="1" applyAlignment="1" applyProtection="1">
      <alignment horizontal="center" vertical="center"/>
    </xf>
    <xf numFmtId="3" fontId="44" fillId="32" borderId="3" xfId="6" applyNumberFormat="1" applyFont="1" applyFill="1" applyBorder="1" applyAlignment="1">
      <alignment horizontal="center" vertical="center"/>
    </xf>
    <xf numFmtId="49" fontId="43" fillId="0" borderId="1" xfId="12" applyNumberFormat="1" applyFont="1" applyFill="1" applyBorder="1" applyAlignment="1">
      <alignment horizontal="left" vertical="center" wrapText="1"/>
    </xf>
    <xf numFmtId="3" fontId="57" fillId="0" borderId="1" xfId="1" applyNumberFormat="1" applyFont="1" applyBorder="1" applyAlignment="1">
      <alignment vertical="center" wrapText="1"/>
    </xf>
    <xf numFmtId="3" fontId="57" fillId="0" borderId="6" xfId="6" applyNumberFormat="1" applyFont="1" applyBorder="1" applyAlignment="1">
      <alignment vertical="center" wrapText="1"/>
    </xf>
    <xf numFmtId="3" fontId="41" fillId="0" borderId="0" xfId="0" applyNumberFormat="1" applyFont="1" applyProtection="1">
      <protection locked="0"/>
    </xf>
    <xf numFmtId="49" fontId="42" fillId="2" borderId="5" xfId="6" applyNumberFormat="1" applyFont="1" applyFill="1" applyBorder="1" applyAlignment="1">
      <alignment horizontal="center" vertical="center"/>
    </xf>
    <xf numFmtId="0" fontId="42" fillId="2" borderId="1" xfId="0" applyFont="1" applyFill="1" applyBorder="1" applyAlignment="1">
      <alignment horizontal="left" vertical="center" wrapText="1" readingOrder="1"/>
    </xf>
    <xf numFmtId="49" fontId="42" fillId="2" borderId="1" xfId="6" applyNumberFormat="1" applyFont="1" applyFill="1" applyBorder="1" applyAlignment="1">
      <alignment horizontal="center" vertical="center"/>
    </xf>
    <xf numFmtId="3" fontId="42" fillId="2" borderId="1" xfId="6" applyNumberFormat="1" applyFont="1" applyFill="1" applyBorder="1" applyAlignment="1">
      <alignment vertical="center" wrapText="1"/>
    </xf>
    <xf numFmtId="9" fontId="44" fillId="2" borderId="1" xfId="12" applyFont="1" applyFill="1" applyBorder="1" applyAlignment="1" applyProtection="1">
      <alignment horizontal="center" vertical="center" wrapText="1"/>
    </xf>
    <xf numFmtId="9" fontId="44" fillId="2" borderId="1" xfId="12" applyFont="1" applyFill="1" applyBorder="1" applyAlignment="1" applyProtection="1">
      <alignment horizontal="center" vertical="center" wrapText="1"/>
      <protection locked="0"/>
    </xf>
    <xf numFmtId="0" fontId="41" fillId="3" borderId="1" xfId="6" applyFont="1" applyFill="1" applyBorder="1" applyAlignment="1">
      <alignment vertical="center"/>
    </xf>
    <xf numFmtId="0" fontId="41" fillId="3" borderId="1" xfId="6" applyFont="1" applyFill="1" applyBorder="1" applyAlignment="1">
      <alignment vertical="center" wrapText="1"/>
    </xf>
    <xf numFmtId="3" fontId="45" fillId="2" borderId="1" xfId="6" applyNumberFormat="1" applyFont="1" applyFill="1" applyBorder="1" applyAlignment="1">
      <alignment vertical="center" wrapText="1"/>
    </xf>
    <xf numFmtId="49" fontId="43" fillId="3" borderId="1" xfId="12" applyNumberFormat="1" applyFont="1" applyFill="1" applyBorder="1" applyAlignment="1">
      <alignment horizontal="left" vertical="center" wrapText="1"/>
    </xf>
    <xf numFmtId="49" fontId="42" fillId="32" borderId="1" xfId="6" applyNumberFormat="1" applyFont="1" applyFill="1" applyBorder="1" applyAlignment="1">
      <alignment horizontal="center" vertical="center"/>
    </xf>
    <xf numFmtId="0" fontId="42" fillId="32" borderId="1" xfId="6" applyFont="1" applyFill="1" applyBorder="1" applyAlignment="1">
      <alignment vertical="center" wrapText="1"/>
    </xf>
    <xf numFmtId="0" fontId="57" fillId="0" borderId="1" xfId="0" applyFont="1" applyBorder="1"/>
    <xf numFmtId="49" fontId="52" fillId="2" borderId="1" xfId="6" applyNumberFormat="1" applyFont="1" applyFill="1" applyBorder="1" applyAlignment="1">
      <alignment vertical="top" wrapText="1"/>
    </xf>
    <xf numFmtId="166" fontId="61" fillId="5" borderId="1" xfId="12" applyNumberFormat="1" applyFont="1" applyFill="1" applyBorder="1" applyAlignment="1" applyProtection="1">
      <alignment horizontal="center" vertical="center" wrapText="1"/>
    </xf>
    <xf numFmtId="3" fontId="61" fillId="5" borderId="1" xfId="12" applyNumberFormat="1" applyFont="1" applyFill="1" applyBorder="1" applyAlignment="1" applyProtection="1">
      <alignment horizontal="center" vertical="center" wrapText="1"/>
    </xf>
    <xf numFmtId="166" fontId="64" fillId="2" borderId="1" xfId="12" applyNumberFormat="1" applyFont="1" applyFill="1" applyBorder="1" applyAlignment="1" applyProtection="1">
      <alignment horizontal="center" vertical="center" wrapText="1"/>
    </xf>
    <xf numFmtId="3" fontId="52" fillId="3" borderId="1" xfId="0" applyNumberFormat="1" applyFont="1" applyFill="1" applyBorder="1" applyAlignment="1" applyProtection="1">
      <alignment horizontal="right" vertical="center" wrapText="1"/>
      <protection locked="0"/>
    </xf>
    <xf numFmtId="3" fontId="61" fillId="3" borderId="1" xfId="0" applyNumberFormat="1" applyFont="1" applyFill="1" applyBorder="1" applyAlignment="1" applyProtection="1">
      <alignment horizontal="center" vertical="center" wrapText="1"/>
      <protection locked="0"/>
    </xf>
    <xf numFmtId="166" fontId="61" fillId="3" borderId="1" xfId="12" applyNumberFormat="1" applyFont="1" applyFill="1" applyBorder="1" applyAlignment="1" applyProtection="1">
      <alignment horizontal="center" vertical="center" wrapText="1"/>
    </xf>
    <xf numFmtId="3" fontId="51" fillId="2" borderId="1" xfId="0" applyNumberFormat="1" applyFont="1" applyFill="1" applyBorder="1" applyAlignment="1" applyProtection="1">
      <alignment horizontal="right" vertical="center" wrapText="1"/>
      <protection locked="0"/>
    </xf>
    <xf numFmtId="3" fontId="64" fillId="2" borderId="1" xfId="0" applyNumberFormat="1" applyFont="1" applyFill="1" applyBorder="1" applyAlignment="1" applyProtection="1">
      <alignment horizontal="center" vertical="center" wrapText="1"/>
      <protection locked="0"/>
    </xf>
    <xf numFmtId="3" fontId="51" fillId="3" borderId="1" xfId="0" applyNumberFormat="1" applyFont="1" applyFill="1" applyBorder="1" applyAlignment="1" applyProtection="1">
      <alignment horizontal="right" vertical="center" wrapText="1"/>
      <protection locked="0"/>
    </xf>
    <xf numFmtId="3" fontId="64" fillId="3" borderId="1" xfId="0" applyNumberFormat="1" applyFont="1" applyFill="1" applyBorder="1" applyAlignment="1" applyProtection="1">
      <alignment horizontal="center" vertical="center" wrapText="1"/>
      <protection locked="0"/>
    </xf>
    <xf numFmtId="166" fontId="64" fillId="3" borderId="1" xfId="12" applyNumberFormat="1" applyFont="1" applyFill="1" applyBorder="1" applyAlignment="1" applyProtection="1">
      <alignment horizontal="center" vertical="center" wrapText="1"/>
    </xf>
    <xf numFmtId="166" fontId="64" fillId="0" borderId="1" xfId="12" applyNumberFormat="1" applyFont="1" applyFill="1" applyBorder="1" applyAlignment="1" applyProtection="1">
      <alignment horizontal="center" vertical="center" wrapText="1"/>
    </xf>
    <xf numFmtId="3" fontId="51" fillId="2" borderId="1" xfId="0" applyNumberFormat="1" applyFont="1" applyFill="1" applyBorder="1" applyAlignment="1">
      <alignment horizontal="right" vertical="center" wrapText="1"/>
    </xf>
    <xf numFmtId="3" fontId="64" fillId="2" borderId="1" xfId="0" applyNumberFormat="1" applyFont="1" applyFill="1" applyBorder="1" applyAlignment="1">
      <alignment horizontal="center" vertical="center" wrapText="1"/>
    </xf>
    <xf numFmtId="166" fontId="64" fillId="2" borderId="1" xfId="12" applyNumberFormat="1" applyFont="1" applyFill="1" applyBorder="1" applyAlignment="1">
      <alignment horizontal="center" vertical="center" wrapText="1"/>
    </xf>
    <xf numFmtId="0" fontId="51" fillId="2" borderId="1" xfId="0" applyFont="1" applyFill="1" applyBorder="1" applyAlignment="1">
      <alignment horizontal="right" vertical="center" wrapText="1"/>
    </xf>
    <xf numFmtId="1" fontId="51" fillId="2" borderId="1" xfId="0" applyNumberFormat="1" applyFont="1" applyFill="1" applyBorder="1" applyAlignment="1">
      <alignment horizontal="right" vertical="center" wrapText="1"/>
    </xf>
    <xf numFmtId="1" fontId="52" fillId="3" borderId="1" xfId="0" applyNumberFormat="1" applyFont="1" applyFill="1" applyBorder="1" applyAlignment="1">
      <alignment horizontal="right" vertical="center" wrapText="1"/>
    </xf>
    <xf numFmtId="3" fontId="61" fillId="3" borderId="1" xfId="0" applyNumberFormat="1" applyFont="1" applyFill="1" applyBorder="1" applyAlignment="1">
      <alignment horizontal="center" vertical="center" wrapText="1"/>
    </xf>
    <xf numFmtId="166" fontId="61" fillId="3" borderId="1" xfId="12" applyNumberFormat="1" applyFont="1" applyFill="1" applyBorder="1" applyAlignment="1">
      <alignment horizontal="center" vertical="center" wrapText="1"/>
    </xf>
    <xf numFmtId="3" fontId="52" fillId="0" borderId="1" xfId="0" applyNumberFormat="1" applyFont="1" applyBorder="1" applyAlignment="1" applyProtection="1">
      <alignment horizontal="right" vertical="center" wrapText="1"/>
      <protection locked="0"/>
    </xf>
    <xf numFmtId="3" fontId="61" fillId="0" borderId="1" xfId="0" applyNumberFormat="1" applyFont="1" applyBorder="1" applyAlignment="1" applyProtection="1">
      <alignment horizontal="center" vertical="center" wrapText="1"/>
      <protection locked="0"/>
    </xf>
    <xf numFmtId="166" fontId="61" fillId="0" borderId="1" xfId="12" applyNumberFormat="1" applyFont="1" applyBorder="1" applyAlignment="1">
      <alignment horizontal="center" vertical="center" wrapText="1"/>
    </xf>
    <xf numFmtId="166" fontId="64" fillId="3" borderId="1" xfId="12" applyNumberFormat="1" applyFont="1" applyFill="1" applyBorder="1" applyAlignment="1">
      <alignment horizontal="center" vertical="center" wrapText="1"/>
    </xf>
    <xf numFmtId="0" fontId="52" fillId="2" borderId="1" xfId="0" applyFont="1" applyFill="1" applyBorder="1" applyAlignment="1">
      <alignment horizontal="right" vertical="center" wrapText="1"/>
    </xf>
    <xf numFmtId="1" fontId="52" fillId="2" borderId="1" xfId="0" applyNumberFormat="1" applyFont="1" applyFill="1" applyBorder="1" applyAlignment="1">
      <alignment horizontal="right" vertical="center" wrapText="1"/>
    </xf>
    <xf numFmtId="3" fontId="61" fillId="2" borderId="1" xfId="0" applyNumberFormat="1" applyFont="1" applyFill="1" applyBorder="1" applyAlignment="1">
      <alignment horizontal="center" vertical="center" wrapText="1"/>
    </xf>
    <xf numFmtId="166" fontId="61" fillId="2" borderId="1" xfId="12" applyNumberFormat="1" applyFont="1" applyFill="1" applyBorder="1" applyAlignment="1">
      <alignment horizontal="center" vertical="center" wrapText="1"/>
    </xf>
    <xf numFmtId="1" fontId="51" fillId="2" borderId="1" xfId="0" applyNumberFormat="1" applyFont="1" applyFill="1" applyBorder="1" applyAlignment="1" applyProtection="1">
      <alignment horizontal="right" vertical="center" wrapText="1"/>
      <protection locked="0"/>
    </xf>
    <xf numFmtId="0" fontId="51" fillId="2" borderId="1" xfId="0" applyFont="1" applyFill="1" applyBorder="1" applyAlignment="1" applyProtection="1">
      <alignment horizontal="right" vertical="center" wrapText="1"/>
      <protection locked="0"/>
    </xf>
    <xf numFmtId="1" fontId="52" fillId="3" borderId="1" xfId="0" applyNumberFormat="1" applyFont="1" applyFill="1" applyBorder="1" applyAlignment="1" applyProtection="1">
      <alignment horizontal="right" vertical="center" wrapText="1"/>
      <protection locked="0"/>
    </xf>
    <xf numFmtId="166" fontId="61" fillId="0" borderId="1" xfId="12" applyNumberFormat="1" applyFont="1" applyFill="1" applyBorder="1" applyAlignment="1" applyProtection="1">
      <alignment horizontal="center" vertical="center" wrapText="1"/>
    </xf>
    <xf numFmtId="3" fontId="42" fillId="2" borderId="1" xfId="6" applyNumberFormat="1" applyFont="1" applyFill="1" applyBorder="1" applyAlignment="1">
      <alignment horizontal="right" vertical="center"/>
    </xf>
    <xf numFmtId="3" fontId="42" fillId="0" borderId="1" xfId="6" applyNumberFormat="1" applyFont="1" applyBorder="1" applyAlignment="1" applyProtection="1">
      <alignment horizontal="right" vertical="center"/>
      <protection locked="0"/>
    </xf>
    <xf numFmtId="3" fontId="42" fillId="6" borderId="1" xfId="6" applyNumberFormat="1" applyFont="1" applyFill="1" applyBorder="1" applyAlignment="1">
      <alignment horizontal="right" vertical="center"/>
    </xf>
    <xf numFmtId="3" fontId="42" fillId="6" borderId="1" xfId="0" applyNumberFormat="1" applyFont="1" applyFill="1" applyBorder="1" applyAlignment="1">
      <alignment horizontal="right" vertical="center"/>
    </xf>
    <xf numFmtId="3" fontId="42" fillId="0" borderId="1" xfId="0" applyNumberFormat="1" applyFont="1" applyBorder="1" applyAlignment="1" applyProtection="1">
      <alignment horizontal="right" vertical="center"/>
      <protection locked="0"/>
    </xf>
    <xf numFmtId="3" fontId="41" fillId="0" borderId="1" xfId="0" applyNumberFormat="1" applyFont="1" applyBorder="1" applyAlignment="1">
      <alignment horizontal="right" vertical="center"/>
    </xf>
    <xf numFmtId="3" fontId="42" fillId="6" borderId="6" xfId="6" applyNumberFormat="1" applyFont="1" applyFill="1" applyBorder="1" applyAlignment="1">
      <alignment horizontal="right" vertical="center" wrapText="1"/>
    </xf>
    <xf numFmtId="3" fontId="41" fillId="0" borderId="1" xfId="6" applyNumberFormat="1" applyFont="1" applyBorder="1" applyAlignment="1">
      <alignment horizontal="right" vertical="center"/>
    </xf>
    <xf numFmtId="3" fontId="41" fillId="0" borderId="1" xfId="6" applyNumberFormat="1" applyFont="1" applyBorder="1" applyAlignment="1" applyProtection="1">
      <alignment vertical="center"/>
      <protection locked="0"/>
    </xf>
    <xf numFmtId="3" fontId="42" fillId="0" borderId="0" xfId="6" applyNumberFormat="1" applyFont="1" applyAlignment="1" applyProtection="1">
      <alignment horizontal="right" vertical="center"/>
      <protection locked="0"/>
    </xf>
    <xf numFmtId="3" fontId="42" fillId="8" borderId="1" xfId="6" applyNumberFormat="1" applyFont="1" applyFill="1" applyBorder="1" applyAlignment="1">
      <alignment vertical="center"/>
    </xf>
    <xf numFmtId="3" fontId="42" fillId="6" borderId="1" xfId="6" applyNumberFormat="1" applyFont="1" applyFill="1" applyBorder="1" applyAlignment="1">
      <alignment horizontal="right" vertical="center" wrapText="1"/>
    </xf>
    <xf numFmtId="3" fontId="41" fillId="3" borderId="1" xfId="6" applyNumberFormat="1" applyFont="1" applyFill="1" applyBorder="1" applyAlignment="1" applyProtection="1">
      <alignment vertical="center"/>
      <protection locked="0"/>
    </xf>
    <xf numFmtId="3" fontId="42" fillId="2" borderId="1" xfId="6" applyNumberFormat="1" applyFont="1" applyFill="1" applyBorder="1" applyAlignment="1" applyProtection="1">
      <alignment vertical="center"/>
      <protection locked="0"/>
    </xf>
    <xf numFmtId="3" fontId="42" fillId="2" borderId="1" xfId="6" applyNumberFormat="1" applyFont="1" applyFill="1" applyBorder="1" applyAlignment="1">
      <alignment vertical="center"/>
    </xf>
    <xf numFmtId="3" fontId="42" fillId="0" borderId="1" xfId="6" applyNumberFormat="1" applyFont="1" applyBorder="1" applyAlignment="1" applyProtection="1">
      <alignment vertical="center"/>
      <protection locked="0"/>
    </xf>
    <xf numFmtId="3" fontId="42" fillId="6" borderId="1" xfId="0" applyNumberFormat="1" applyFont="1" applyFill="1" applyBorder="1" applyAlignment="1">
      <alignment vertical="center"/>
    </xf>
    <xf numFmtId="3" fontId="42" fillId="0" borderId="1" xfId="0" applyNumberFormat="1" applyFont="1" applyBorder="1" applyAlignment="1" applyProtection="1">
      <alignment vertical="center"/>
      <protection locked="0"/>
    </xf>
    <xf numFmtId="3" fontId="41" fillId="0" borderId="1" xfId="0" applyNumberFormat="1" applyFont="1" applyBorder="1" applyAlignment="1">
      <alignment vertical="center"/>
    </xf>
    <xf numFmtId="3" fontId="41" fillId="0" borderId="1" xfId="6" applyNumberFormat="1" applyFont="1" applyBorder="1" applyAlignment="1">
      <alignment vertical="center"/>
    </xf>
    <xf numFmtId="3" fontId="42" fillId="2" borderId="1" xfId="1" applyNumberFormat="1" applyFont="1" applyFill="1" applyBorder="1" applyAlignment="1">
      <alignment vertical="center"/>
    </xf>
    <xf numFmtId="3" fontId="41" fillId="0" borderId="1" xfId="1" applyNumberFormat="1" applyFont="1" applyBorder="1" applyAlignment="1" applyProtection="1">
      <alignment vertical="center"/>
      <protection locked="0"/>
    </xf>
    <xf numFmtId="3" fontId="41" fillId="2" borderId="1" xfId="1" applyNumberFormat="1" applyFont="1" applyFill="1" applyBorder="1" applyAlignment="1">
      <alignment vertical="center"/>
    </xf>
    <xf numFmtId="3" fontId="42" fillId="2" borderId="1" xfId="1" applyNumberFormat="1" applyFont="1" applyFill="1" applyBorder="1" applyAlignment="1" applyProtection="1">
      <alignment vertical="center"/>
      <protection locked="0"/>
    </xf>
    <xf numFmtId="3" fontId="41" fillId="3" borderId="1" xfId="1" applyNumberFormat="1" applyFont="1" applyFill="1" applyBorder="1" applyAlignment="1" applyProtection="1">
      <alignment vertical="center"/>
      <protection locked="0"/>
    </xf>
    <xf numFmtId="1" fontId="52" fillId="0" borderId="1" xfId="0" applyNumberFormat="1" applyFont="1" applyBorder="1" applyAlignment="1" applyProtection="1">
      <alignment horizontal="right" vertical="center" wrapText="1"/>
      <protection locked="0"/>
    </xf>
    <xf numFmtId="1" fontId="51" fillId="3" borderId="1" xfId="0" applyNumberFormat="1" applyFont="1" applyFill="1" applyBorder="1" applyAlignment="1" applyProtection="1">
      <alignment horizontal="right" vertical="center" wrapText="1"/>
      <protection locked="0"/>
    </xf>
    <xf numFmtId="1" fontId="51" fillId="3" borderId="1" xfId="1" applyNumberFormat="1" applyFont="1" applyFill="1" applyBorder="1" applyAlignment="1" applyProtection="1">
      <alignment horizontal="right" vertical="center" wrapText="1"/>
      <protection locked="0"/>
    </xf>
    <xf numFmtId="1" fontId="51" fillId="0" borderId="1" xfId="1" applyNumberFormat="1" applyFont="1" applyBorder="1" applyAlignment="1" applyProtection="1">
      <alignment horizontal="right" vertical="center" wrapText="1"/>
      <protection locked="0"/>
    </xf>
    <xf numFmtId="1" fontId="51" fillId="0" borderId="1" xfId="0" applyNumberFormat="1" applyFont="1" applyBorder="1" applyAlignment="1" applyProtection="1">
      <alignment horizontal="right" vertical="center" wrapText="1"/>
      <protection locked="0"/>
    </xf>
    <xf numFmtId="1" fontId="66" fillId="2" borderId="1" xfId="0" applyNumberFormat="1" applyFont="1" applyFill="1" applyBorder="1" applyAlignment="1">
      <alignment horizontal="right" vertical="center" wrapText="1"/>
    </xf>
    <xf numFmtId="3" fontId="52" fillId="0" borderId="0" xfId="0" applyNumberFormat="1" applyFont="1" applyAlignment="1">
      <alignment vertical="center"/>
    </xf>
    <xf numFmtId="0" fontId="41" fillId="7" borderId="10" xfId="0" applyFont="1" applyFill="1" applyBorder="1" applyAlignment="1">
      <alignment horizontal="left" vertical="center" wrapText="1" indent="1"/>
    </xf>
    <xf numFmtId="0" fontId="41" fillId="7" borderId="10" xfId="0" applyFont="1" applyFill="1" applyBorder="1" applyAlignment="1" applyProtection="1">
      <alignment horizontal="left" vertical="center" wrapText="1"/>
      <protection locked="0"/>
    </xf>
    <xf numFmtId="0" fontId="41" fillId="7" borderId="11" xfId="0" applyFont="1" applyFill="1" applyBorder="1" applyAlignment="1" applyProtection="1">
      <alignment horizontal="center" vertical="center" wrapText="1"/>
      <protection locked="0"/>
    </xf>
    <xf numFmtId="0" fontId="41" fillId="7" borderId="11" xfId="0" applyFont="1" applyFill="1" applyBorder="1" applyAlignment="1" applyProtection="1">
      <alignment horizontal="left" vertical="center" wrapText="1"/>
      <protection locked="0"/>
    </xf>
    <xf numFmtId="0" fontId="50" fillId="0" borderId="0" xfId="0" applyFont="1" applyAlignment="1">
      <alignment horizontal="left" vertical="center" wrapText="1"/>
    </xf>
    <xf numFmtId="0" fontId="41" fillId="0" borderId="29" xfId="6" applyFont="1" applyBorder="1"/>
    <xf numFmtId="0" fontId="41" fillId="0" borderId="30" xfId="6" applyFont="1" applyBorder="1"/>
    <xf numFmtId="0" fontId="41" fillId="0" borderId="1" xfId="6" applyFont="1" applyBorder="1"/>
    <xf numFmtId="0" fontId="41" fillId="0" borderId="1" xfId="6" applyFont="1" applyBorder="1" applyProtection="1">
      <protection locked="0"/>
    </xf>
    <xf numFmtId="0" fontId="41" fillId="2" borderId="1" xfId="6" applyFont="1" applyFill="1" applyBorder="1"/>
    <xf numFmtId="0" fontId="41" fillId="2" borderId="10" xfId="0" applyFont="1" applyFill="1" applyBorder="1" applyAlignment="1">
      <alignment horizontal="center" vertical="center" wrapText="1"/>
    </xf>
    <xf numFmtId="0" fontId="41" fillId="2" borderId="10" xfId="0" applyFont="1" applyFill="1" applyBorder="1" applyAlignment="1">
      <alignment horizontal="left" vertical="center" wrapText="1"/>
    </xf>
    <xf numFmtId="3" fontId="41" fillId="2" borderId="1" xfId="6" applyNumberFormat="1" applyFont="1" applyFill="1" applyBorder="1"/>
    <xf numFmtId="49" fontId="43" fillId="0" borderId="1" xfId="6" applyNumberFormat="1" applyFont="1" applyBorder="1" applyAlignment="1" applyProtection="1">
      <alignment horizontal="left" vertical="center"/>
      <protection locked="0"/>
    </xf>
    <xf numFmtId="49" fontId="43" fillId="3" borderId="1" xfId="6" applyNumberFormat="1" applyFont="1" applyFill="1" applyBorder="1" applyAlignment="1" applyProtection="1">
      <alignment horizontal="left" vertical="center" wrapText="1"/>
      <protection locked="0"/>
    </xf>
    <xf numFmtId="3" fontId="67" fillId="0" borderId="0" xfId="1467" applyNumberFormat="1" applyFont="1" applyAlignment="1">
      <alignment horizontal="center" vertical="center"/>
    </xf>
    <xf numFmtId="9" fontId="67" fillId="0" borderId="0" xfId="12" applyFont="1" applyAlignment="1">
      <alignment horizontal="center" vertical="center"/>
    </xf>
    <xf numFmtId="3" fontId="47" fillId="0" borderId="0" xfId="0" applyNumberFormat="1" applyFont="1" applyAlignment="1">
      <alignment vertical="center"/>
    </xf>
    <xf numFmtId="3" fontId="43" fillId="6" borderId="1" xfId="1" applyNumberFormat="1" applyFont="1" applyFill="1" applyBorder="1" applyAlignment="1">
      <alignment horizontal="center" vertical="center"/>
    </xf>
    <xf numFmtId="9" fontId="43" fillId="6" borderId="1" xfId="12" applyFont="1" applyFill="1" applyBorder="1" applyAlignment="1">
      <alignment horizontal="center" vertical="center"/>
    </xf>
    <xf numFmtId="0" fontId="57" fillId="0" borderId="4" xfId="0" applyFont="1" applyBorder="1" applyAlignment="1">
      <alignment vertical="center" wrapText="1"/>
    </xf>
    <xf numFmtId="0" fontId="57" fillId="0" borderId="28" xfId="0" applyFont="1" applyBorder="1"/>
    <xf numFmtId="3" fontId="56" fillId="0" borderId="1" xfId="6" applyNumberFormat="1" applyFont="1" applyBorder="1" applyAlignment="1">
      <alignment vertical="center" wrapText="1"/>
    </xf>
    <xf numFmtId="3" fontId="57" fillId="0" borderId="0" xfId="1" applyNumberFormat="1" applyFont="1" applyAlignment="1">
      <alignment vertical="center" wrapText="1"/>
    </xf>
    <xf numFmtId="0" fontId="57" fillId="0" borderId="0" xfId="1" applyFont="1" applyAlignment="1">
      <alignment vertical="center" wrapText="1"/>
    </xf>
    <xf numFmtId="0" fontId="41" fillId="2" borderId="1" xfId="6" applyFont="1" applyFill="1" applyBorder="1" applyProtection="1">
      <protection locked="0"/>
    </xf>
    <xf numFmtId="3" fontId="41" fillId="0" borderId="4" xfId="6" applyNumberFormat="1" applyFont="1" applyBorder="1" applyAlignment="1" applyProtection="1">
      <alignment horizontal="right" vertical="center" wrapText="1"/>
      <protection locked="0"/>
    </xf>
    <xf numFmtId="3" fontId="41" fillId="0" borderId="4" xfId="6" applyNumberFormat="1" applyFont="1" applyBorder="1" applyAlignment="1" applyProtection="1">
      <alignment horizontal="right" vertical="center"/>
      <protection locked="0"/>
    </xf>
    <xf numFmtId="3" fontId="41" fillId="2" borderId="4" xfId="6" applyNumberFormat="1" applyFont="1" applyFill="1" applyBorder="1"/>
    <xf numFmtId="0" fontId="41" fillId="2" borderId="4" xfId="6" applyFont="1" applyFill="1" applyBorder="1"/>
    <xf numFmtId="0" fontId="41" fillId="0" borderId="1" xfId="0" applyFont="1" applyBorder="1" applyAlignment="1">
      <alignment horizontal="center" vertical="center" wrapText="1"/>
    </xf>
    <xf numFmtId="0" fontId="41" fillId="0" borderId="1" xfId="0" applyFont="1" applyBorder="1" applyAlignment="1">
      <alignment horizontal="left" vertical="center" wrapText="1"/>
    </xf>
    <xf numFmtId="2" fontId="41" fillId="2" borderId="1" xfId="6" applyNumberFormat="1" applyFont="1" applyFill="1" applyBorder="1"/>
    <xf numFmtId="1" fontId="41" fillId="2" borderId="1" xfId="6" applyNumberFormat="1" applyFont="1" applyFill="1" applyBorder="1"/>
    <xf numFmtId="1" fontId="41" fillId="2" borderId="1" xfId="6" applyNumberFormat="1" applyFont="1" applyFill="1" applyBorder="1" applyProtection="1">
      <protection locked="0"/>
    </xf>
    <xf numFmtId="0" fontId="41" fillId="0" borderId="0" xfId="6" applyFont="1" applyAlignment="1" applyProtection="1">
      <alignment horizontal="right"/>
      <protection locked="0"/>
    </xf>
    <xf numFmtId="0" fontId="41" fillId="7" borderId="32" xfId="0" applyFont="1" applyFill="1" applyBorder="1" applyAlignment="1">
      <alignment horizontal="center" vertical="center" wrapText="1"/>
    </xf>
    <xf numFmtId="0" fontId="41" fillId="7" borderId="32" xfId="0" applyFont="1" applyFill="1" applyBorder="1" applyAlignment="1">
      <alignment horizontal="left" vertical="center" wrapText="1"/>
    </xf>
    <xf numFmtId="3" fontId="41" fillId="0" borderId="6" xfId="6" applyNumberFormat="1" applyFont="1" applyBorder="1" applyAlignment="1">
      <alignment horizontal="right" vertical="center" wrapText="1"/>
    </xf>
    <xf numFmtId="0" fontId="42" fillId="8" borderId="1" xfId="6" applyFont="1" applyFill="1" applyBorder="1" applyAlignment="1">
      <alignment horizontal="center" vertical="center"/>
    </xf>
    <xf numFmtId="3" fontId="44" fillId="2" borderId="1" xfId="6" applyNumberFormat="1" applyFont="1" applyFill="1" applyBorder="1" applyAlignment="1">
      <alignment horizontal="center" vertical="center"/>
    </xf>
    <xf numFmtId="9" fontId="44" fillId="2" borderId="1" xfId="12" applyFont="1" applyFill="1" applyBorder="1" applyAlignment="1" applyProtection="1">
      <alignment horizontal="center" vertical="center"/>
    </xf>
    <xf numFmtId="0" fontId="42" fillId="3" borderId="5" xfId="6" applyFont="1" applyFill="1" applyBorder="1" applyAlignment="1">
      <alignment horizontal="center" vertical="center"/>
    </xf>
    <xf numFmtId="0" fontId="43" fillId="0" borderId="0" xfId="0" applyFont="1" applyAlignment="1">
      <alignment horizontal="center" vertical="center"/>
    </xf>
    <xf numFmtId="9" fontId="43" fillId="0" borderId="0" xfId="12" applyFont="1" applyAlignment="1" applyProtection="1">
      <alignment horizontal="center" vertical="center"/>
    </xf>
    <xf numFmtId="0" fontId="42" fillId="6" borderId="1" xfId="6" applyFont="1" applyFill="1" applyBorder="1" applyAlignment="1">
      <alignment horizontal="center" vertical="center"/>
    </xf>
    <xf numFmtId="0" fontId="42" fillId="2" borderId="1" xfId="6" applyFont="1" applyFill="1" applyBorder="1" applyAlignment="1">
      <alignment horizontal="center" vertical="center"/>
    </xf>
    <xf numFmtId="0" fontId="42" fillId="2" borderId="1" xfId="6" applyFont="1" applyFill="1" applyBorder="1" applyAlignment="1">
      <alignment vertical="center" wrapText="1"/>
    </xf>
    <xf numFmtId="0" fontId="43" fillId="0" borderId="0" xfId="0" applyFont="1" applyAlignment="1">
      <alignment vertical="center"/>
    </xf>
    <xf numFmtId="0" fontId="41" fillId="3" borderId="1" xfId="6" applyFont="1" applyFill="1" applyBorder="1" applyAlignment="1">
      <alignment horizontal="center" vertical="center"/>
    </xf>
    <xf numFmtId="3" fontId="41" fillId="3" borderId="1" xfId="0" applyNumberFormat="1" applyFont="1" applyFill="1" applyBorder="1" applyAlignment="1">
      <alignment horizontal="left" vertical="center" wrapText="1"/>
    </xf>
    <xf numFmtId="3" fontId="42" fillId="2" borderId="1" xfId="0" applyNumberFormat="1" applyFont="1" applyFill="1" applyBorder="1" applyAlignment="1">
      <alignment horizontal="left" vertical="center" wrapText="1"/>
    </xf>
    <xf numFmtId="0" fontId="44" fillId="0" borderId="0" xfId="0" applyFont="1" applyAlignment="1">
      <alignment vertical="center"/>
    </xf>
    <xf numFmtId="0" fontId="42" fillId="0" borderId="1" xfId="6" applyFont="1" applyBorder="1" applyAlignment="1">
      <alignment horizontal="center" vertical="center"/>
    </xf>
    <xf numFmtId="3" fontId="41" fillId="0" borderId="1" xfId="0" applyNumberFormat="1" applyFont="1" applyBorder="1" applyAlignment="1">
      <alignment horizontal="left" vertical="center" wrapText="1"/>
    </xf>
    <xf numFmtId="3" fontId="42" fillId="0" borderId="1" xfId="6" applyNumberFormat="1" applyFont="1" applyBorder="1" applyAlignment="1">
      <alignment vertical="center" wrapText="1"/>
    </xf>
    <xf numFmtId="3" fontId="44" fillId="0" borderId="1" xfId="6" applyNumberFormat="1" applyFont="1" applyBorder="1" applyAlignment="1" applyProtection="1">
      <alignment horizontal="center" vertical="center"/>
      <protection locked="0"/>
    </xf>
    <xf numFmtId="9" fontId="44" fillId="0" borderId="1" xfId="12" applyFont="1" applyFill="1" applyBorder="1" applyAlignment="1" applyProtection="1">
      <alignment horizontal="center" vertical="center"/>
      <protection locked="0"/>
    </xf>
    <xf numFmtId="3" fontId="42" fillId="0" borderId="1" xfId="1" applyNumberFormat="1" applyFont="1" applyBorder="1" applyAlignment="1">
      <alignment horizontal="left" vertical="center" wrapText="1"/>
    </xf>
    <xf numFmtId="0" fontId="41" fillId="3" borderId="1" xfId="6" applyFont="1" applyFill="1" applyBorder="1" applyAlignment="1">
      <alignment horizontal="left" vertical="center" wrapText="1"/>
    </xf>
    <xf numFmtId="3" fontId="43" fillId="3" borderId="4" xfId="6" applyNumberFormat="1" applyFont="1" applyFill="1" applyBorder="1" applyAlignment="1" applyProtection="1">
      <alignment horizontal="center" vertical="center"/>
      <protection locked="0"/>
    </xf>
    <xf numFmtId="9" fontId="43" fillId="3" borderId="4" xfId="12" applyFont="1" applyFill="1" applyBorder="1" applyAlignment="1" applyProtection="1">
      <alignment horizontal="center" vertical="center"/>
      <protection locked="0"/>
    </xf>
    <xf numFmtId="3" fontId="43" fillId="3" borderId="6" xfId="6" applyNumberFormat="1" applyFont="1" applyFill="1" applyBorder="1" applyAlignment="1" applyProtection="1">
      <alignment horizontal="center" vertical="center"/>
      <protection locked="0"/>
    </xf>
    <xf numFmtId="9" fontId="43" fillId="3" borderId="6" xfId="12" applyFont="1" applyFill="1" applyBorder="1" applyAlignment="1" applyProtection="1">
      <alignment horizontal="center" vertical="center"/>
      <protection locked="0"/>
    </xf>
    <xf numFmtId="0" fontId="42" fillId="6" borderId="1" xfId="6" applyFont="1" applyFill="1" applyBorder="1" applyAlignment="1">
      <alignment vertical="center" wrapText="1"/>
    </xf>
    <xf numFmtId="3" fontId="44" fillId="6" borderId="1" xfId="6" applyNumberFormat="1" applyFont="1" applyFill="1" applyBorder="1" applyAlignment="1">
      <alignment horizontal="center" vertical="center"/>
    </xf>
    <xf numFmtId="9" fontId="44" fillId="6" borderId="1" xfId="12" applyFont="1" applyFill="1" applyBorder="1" applyAlignment="1" applyProtection="1">
      <alignment horizontal="center" vertical="center"/>
    </xf>
    <xf numFmtId="0" fontId="42" fillId="6" borderId="1" xfId="0" applyFont="1" applyFill="1" applyBorder="1" applyAlignment="1">
      <alignment horizontal="center" vertical="center"/>
    </xf>
    <xf numFmtId="0" fontId="42" fillId="6" borderId="1" xfId="0" applyFont="1" applyFill="1" applyBorder="1" applyAlignment="1">
      <alignment vertical="center" wrapText="1"/>
    </xf>
    <xf numFmtId="3" fontId="44" fillId="6" borderId="1" xfId="0" applyNumberFormat="1" applyFont="1" applyFill="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vertical="center" wrapText="1"/>
    </xf>
    <xf numFmtId="3" fontId="44" fillId="0" borderId="1" xfId="0" applyNumberFormat="1" applyFont="1" applyBorder="1" applyAlignment="1" applyProtection="1">
      <alignment horizontal="center" vertical="center"/>
      <protection locked="0"/>
    </xf>
    <xf numFmtId="3" fontId="42" fillId="6" borderId="1" xfId="6" applyNumberFormat="1" applyFont="1" applyFill="1" applyBorder="1" applyAlignment="1">
      <alignment vertical="center" wrapText="1"/>
    </xf>
    <xf numFmtId="3" fontId="43" fillId="0" borderId="1" xfId="0" applyNumberFormat="1" applyFont="1" applyBorder="1" applyAlignment="1">
      <alignment horizontal="center" vertical="center"/>
    </xf>
    <xf numFmtId="9" fontId="43" fillId="0" borderId="1" xfId="12" applyFont="1" applyBorder="1" applyAlignment="1" applyProtection="1">
      <alignment horizontal="center" vertical="center"/>
    </xf>
    <xf numFmtId="9" fontId="43" fillId="0" borderId="6" xfId="12" applyFont="1" applyBorder="1" applyAlignment="1" applyProtection="1">
      <alignment horizontal="center" vertical="center"/>
    </xf>
    <xf numFmtId="0" fontId="42" fillId="2" borderId="4" xfId="6" applyFont="1" applyFill="1" applyBorder="1" applyAlignment="1">
      <alignment vertical="center" wrapText="1"/>
    </xf>
    <xf numFmtId="3" fontId="42" fillId="2" borderId="4" xfId="6" applyNumberFormat="1" applyFont="1" applyFill="1" applyBorder="1" applyAlignment="1">
      <alignment horizontal="right" vertical="center" wrapText="1"/>
    </xf>
    <xf numFmtId="3" fontId="44" fillId="2" borderId="4" xfId="6" applyNumberFormat="1" applyFont="1" applyFill="1" applyBorder="1" applyAlignment="1">
      <alignment horizontal="center" vertical="center" wrapText="1"/>
    </xf>
    <xf numFmtId="0" fontId="42" fillId="6" borderId="6" xfId="6" applyFont="1" applyFill="1" applyBorder="1" applyAlignment="1">
      <alignment horizontal="center" vertical="center"/>
    </xf>
    <xf numFmtId="16" fontId="42" fillId="2" borderId="6" xfId="6" applyNumberFormat="1" applyFont="1" applyFill="1" applyBorder="1" applyAlignment="1">
      <alignment vertical="center" wrapText="1"/>
    </xf>
    <xf numFmtId="3" fontId="44" fillId="2" borderId="6" xfId="6" applyNumberFormat="1" applyFont="1" applyFill="1" applyBorder="1" applyAlignment="1">
      <alignment horizontal="center" vertical="center" wrapText="1"/>
    </xf>
    <xf numFmtId="16" fontId="42" fillId="0" borderId="1" xfId="6" applyNumberFormat="1" applyFont="1" applyBorder="1" applyAlignment="1">
      <alignment vertical="center" wrapText="1"/>
    </xf>
    <xf numFmtId="3" fontId="44" fillId="0" borderId="4" xfId="6" applyNumberFormat="1" applyFont="1" applyBorder="1" applyAlignment="1" applyProtection="1">
      <alignment horizontal="center" vertical="center"/>
      <protection locked="0"/>
    </xf>
    <xf numFmtId="0" fontId="41" fillId="2" borderId="1" xfId="6" applyFont="1" applyFill="1" applyBorder="1" applyAlignment="1">
      <alignment vertical="center" wrapText="1"/>
    </xf>
    <xf numFmtId="0" fontId="41" fillId="0" borderId="1" xfId="6" applyFont="1" applyBorder="1" applyAlignment="1">
      <alignment horizontal="center" vertical="center" wrapText="1"/>
    </xf>
    <xf numFmtId="0" fontId="41" fillId="0" borderId="1" xfId="6" applyFont="1" applyBorder="1" applyAlignment="1">
      <alignment vertical="center" wrapText="1"/>
    </xf>
    <xf numFmtId="3" fontId="43" fillId="0" borderId="1" xfId="6" applyNumberFormat="1" applyFont="1" applyBorder="1" applyAlignment="1">
      <alignment horizontal="center" vertical="center"/>
    </xf>
    <xf numFmtId="3" fontId="43" fillId="0" borderId="6" xfId="6" applyNumberFormat="1" applyFont="1" applyBorder="1" applyAlignment="1">
      <alignment horizontal="center" vertical="center"/>
    </xf>
    <xf numFmtId="0" fontId="41" fillId="0" borderId="1" xfId="6" applyFont="1" applyBorder="1" applyAlignment="1" applyProtection="1">
      <alignment horizontal="center" vertical="center" wrapText="1"/>
      <protection locked="0"/>
    </xf>
    <xf numFmtId="0" fontId="41" fillId="0" borderId="1" xfId="6" applyFont="1" applyBorder="1" applyAlignment="1" applyProtection="1">
      <alignment vertical="center" wrapText="1"/>
      <protection locked="0"/>
    </xf>
    <xf numFmtId="3" fontId="41" fillId="0" borderId="1" xfId="6" applyNumberFormat="1" applyFont="1" applyBorder="1" applyAlignment="1">
      <alignment horizontal="left" vertical="center" wrapText="1"/>
    </xf>
    <xf numFmtId="3" fontId="41" fillId="0" borderId="1" xfId="6" applyNumberFormat="1" applyFont="1" applyBorder="1" applyAlignment="1" applyProtection="1">
      <alignment horizontal="left" vertical="center" wrapText="1"/>
      <protection locked="0"/>
    </xf>
    <xf numFmtId="3" fontId="41" fillId="0" borderId="1" xfId="6" applyNumberFormat="1" applyFont="1" applyBorder="1" applyAlignment="1" applyProtection="1">
      <alignment vertical="center" wrapText="1"/>
      <protection locked="0"/>
    </xf>
    <xf numFmtId="0" fontId="42" fillId="6" borderId="1" xfId="6" applyFont="1" applyFill="1" applyBorder="1" applyAlignment="1">
      <alignment horizontal="center" vertical="center" wrapText="1"/>
    </xf>
    <xf numFmtId="0" fontId="42" fillId="0" borderId="1" xfId="6" applyFont="1" applyBorder="1" applyAlignment="1">
      <alignment horizontal="center" vertical="center" wrapText="1"/>
    </xf>
    <xf numFmtId="49" fontId="42" fillId="2" borderId="1" xfId="6" applyNumberFormat="1" applyFont="1" applyFill="1" applyBorder="1" applyAlignment="1">
      <alignment horizontal="left" vertical="center" wrapText="1"/>
    </xf>
    <xf numFmtId="49" fontId="42" fillId="0" borderId="1" xfId="6" applyNumberFormat="1" applyFont="1" applyBorder="1" applyAlignment="1">
      <alignment horizontal="left" vertical="center" wrapText="1"/>
    </xf>
    <xf numFmtId="0" fontId="48" fillId="0" borderId="0" xfId="6" applyFont="1" applyAlignment="1">
      <alignment horizontal="center" vertical="center" wrapText="1"/>
    </xf>
    <xf numFmtId="49" fontId="48" fillId="0" borderId="0" xfId="6" applyNumberFormat="1" applyFont="1" applyAlignment="1">
      <alignment horizontal="left" vertical="center" wrapText="1"/>
    </xf>
    <xf numFmtId="3" fontId="44" fillId="0" borderId="0" xfId="6" applyNumberFormat="1" applyFont="1" applyAlignment="1" applyProtection="1">
      <alignment horizontal="center" vertical="center"/>
      <protection locked="0"/>
    </xf>
    <xf numFmtId="9" fontId="44" fillId="0" borderId="0" xfId="12" applyFont="1" applyFill="1" applyBorder="1" applyAlignment="1" applyProtection="1">
      <alignment horizontal="center" vertical="center"/>
      <protection locked="0"/>
    </xf>
    <xf numFmtId="0" fontId="54" fillId="0" borderId="0" xfId="6" applyFont="1" applyAlignment="1">
      <alignment horizontal="left" vertical="center"/>
    </xf>
    <xf numFmtId="0" fontId="41" fillId="0" borderId="0" xfId="0" applyFont="1" applyAlignment="1">
      <alignment horizontal="center" vertical="center"/>
    </xf>
    <xf numFmtId="0" fontId="52" fillId="0" borderId="1" xfId="0" applyFont="1" applyBorder="1" applyAlignment="1">
      <alignment horizontal="center" vertical="center"/>
    </xf>
    <xf numFmtId="3" fontId="52" fillId="0" borderId="1" xfId="0" applyNumberFormat="1" applyFont="1" applyBorder="1" applyAlignment="1">
      <alignment horizontal="center" vertical="center"/>
    </xf>
    <xf numFmtId="3" fontId="61" fillId="5" borderId="1" xfId="0" applyNumberFormat="1" applyFont="1" applyFill="1" applyBorder="1" applyAlignment="1">
      <alignment horizontal="center" vertical="center" wrapText="1"/>
    </xf>
    <xf numFmtId="3" fontId="61" fillId="0" borderId="1" xfId="0" applyNumberFormat="1" applyFont="1" applyBorder="1" applyAlignment="1">
      <alignment horizontal="center" vertical="center" wrapText="1"/>
    </xf>
    <xf numFmtId="0" fontId="51" fillId="2" borderId="1" xfId="0" applyFont="1" applyFill="1" applyBorder="1" applyAlignment="1">
      <alignment horizontal="center" vertical="center"/>
    </xf>
    <xf numFmtId="49" fontId="51" fillId="2" borderId="1" xfId="0" applyNumberFormat="1" applyFont="1" applyFill="1" applyBorder="1" applyAlignment="1">
      <alignment horizontal="center" vertical="center"/>
    </xf>
    <xf numFmtId="3" fontId="51" fillId="0" borderId="0" xfId="0" applyNumberFormat="1" applyFont="1" applyAlignment="1">
      <alignment vertical="center"/>
    </xf>
    <xf numFmtId="49" fontId="52" fillId="3" borderId="1" xfId="0" applyNumberFormat="1" applyFont="1" applyFill="1" applyBorder="1" applyAlignment="1">
      <alignment horizontal="center" vertical="center"/>
    </xf>
    <xf numFmtId="49" fontId="51" fillId="3" borderId="1" xfId="0" applyNumberFormat="1" applyFont="1" applyFill="1" applyBorder="1" applyAlignment="1">
      <alignment horizontal="center" vertical="center"/>
    </xf>
    <xf numFmtId="3" fontId="65" fillId="0" borderId="0" xfId="0" applyNumberFormat="1" applyFont="1" applyAlignment="1">
      <alignment vertical="center"/>
    </xf>
    <xf numFmtId="49" fontId="51" fillId="0" borderId="1" xfId="0" applyNumberFormat="1" applyFont="1" applyBorder="1" applyAlignment="1">
      <alignment horizontal="center" vertical="center"/>
    </xf>
    <xf numFmtId="3" fontId="51" fillId="0" borderId="1" xfId="0" applyNumberFormat="1" applyFont="1" applyBorder="1" applyAlignment="1" applyProtection="1">
      <alignment horizontal="right" vertical="center" wrapText="1"/>
      <protection locked="0"/>
    </xf>
    <xf numFmtId="3" fontId="64" fillId="0" borderId="1" xfId="0" applyNumberFormat="1" applyFont="1" applyBorder="1" applyAlignment="1" applyProtection="1">
      <alignment horizontal="center" vertical="center" wrapText="1"/>
      <protection locked="0"/>
    </xf>
    <xf numFmtId="0" fontId="51" fillId="3" borderId="1" xfId="0" applyFont="1" applyFill="1" applyBorder="1" applyAlignment="1">
      <alignment horizontal="center" vertical="center"/>
    </xf>
    <xf numFmtId="0" fontId="52" fillId="3" borderId="1" xfId="0" applyFont="1" applyFill="1" applyBorder="1" applyAlignment="1">
      <alignment horizontal="center" vertical="center"/>
    </xf>
    <xf numFmtId="3" fontId="52" fillId="0" borderId="1" xfId="0" applyNumberFormat="1" applyFont="1" applyBorder="1" applyAlignment="1">
      <alignment vertical="center" wrapText="1"/>
    </xf>
    <xf numFmtId="0" fontId="52" fillId="2" borderId="1" xfId="0" applyFont="1" applyFill="1" applyBorder="1" applyAlignment="1">
      <alignment horizontal="center" vertical="center"/>
    </xf>
    <xf numFmtId="0" fontId="64" fillId="2" borderId="1" xfId="0" applyFont="1" applyFill="1" applyBorder="1" applyAlignment="1">
      <alignment horizontal="center" vertical="center"/>
    </xf>
    <xf numFmtId="3" fontId="64" fillId="0" borderId="0" xfId="0" applyNumberFormat="1" applyFont="1" applyAlignment="1">
      <alignment vertical="center"/>
    </xf>
    <xf numFmtId="0" fontId="51" fillId="2" borderId="1" xfId="0" applyFont="1" applyFill="1" applyBorder="1" applyAlignment="1">
      <alignment horizontal="left" vertical="center" wrapText="1"/>
    </xf>
    <xf numFmtId="0" fontId="52" fillId="3" borderId="1" xfId="0" applyFont="1" applyFill="1" applyBorder="1" applyAlignment="1">
      <alignment horizontal="left" vertical="center" wrapText="1"/>
    </xf>
    <xf numFmtId="3" fontId="64" fillId="0" borderId="1" xfId="0" applyNumberFormat="1" applyFont="1" applyBorder="1" applyAlignment="1">
      <alignment horizontal="center" vertical="center" wrapText="1"/>
    </xf>
    <xf numFmtId="0" fontId="52" fillId="0" borderId="1" xfId="0" applyFont="1" applyBorder="1" applyAlignment="1">
      <alignment horizontal="left" vertical="center" wrapText="1"/>
    </xf>
    <xf numFmtId="0" fontId="64" fillId="2" borderId="1" xfId="0" applyFont="1" applyFill="1" applyBorder="1" applyAlignment="1">
      <alignment horizontal="center" vertical="center" wrapText="1"/>
    </xf>
    <xf numFmtId="0" fontId="51" fillId="3" borderId="1" xfId="0" applyFont="1" applyFill="1" applyBorder="1" applyAlignment="1">
      <alignment horizontal="left" vertical="center" wrapText="1"/>
    </xf>
    <xf numFmtId="0" fontId="51" fillId="0" borderId="1" xfId="0" applyFont="1" applyBorder="1" applyAlignment="1">
      <alignment horizontal="left" vertical="center" wrapText="1"/>
    </xf>
    <xf numFmtId="3" fontId="51" fillId="2" borderId="1" xfId="0" applyNumberFormat="1" applyFont="1" applyFill="1" applyBorder="1" applyAlignment="1">
      <alignment horizontal="left" vertical="center" wrapText="1"/>
    </xf>
    <xf numFmtId="0" fontId="51" fillId="2"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3" fontId="52" fillId="0" borderId="0" xfId="4" applyNumberFormat="1" applyFont="1" applyAlignment="1">
      <alignment vertical="center"/>
    </xf>
    <xf numFmtId="0" fontId="52" fillId="3" borderId="1" xfId="0" applyFont="1" applyFill="1" applyBorder="1" applyAlignment="1">
      <alignment vertical="center" wrapText="1"/>
    </xf>
    <xf numFmtId="3" fontId="51" fillId="2" borderId="1" xfId="0" applyNumberFormat="1" applyFont="1" applyFill="1" applyBorder="1" applyAlignment="1">
      <alignment horizontal="center" vertical="center" wrapText="1"/>
    </xf>
    <xf numFmtId="0" fontId="52" fillId="2" borderId="1" xfId="1" applyFont="1" applyFill="1" applyBorder="1" applyAlignment="1">
      <alignment horizontal="center" vertical="center"/>
    </xf>
    <xf numFmtId="3" fontId="66" fillId="2" borderId="1" xfId="0" applyNumberFormat="1" applyFont="1" applyFill="1" applyBorder="1" applyAlignment="1">
      <alignment horizontal="left" vertical="center" wrapText="1"/>
    </xf>
    <xf numFmtId="3" fontId="66" fillId="2" borderId="1" xfId="0" applyNumberFormat="1" applyFont="1" applyFill="1" applyBorder="1" applyAlignment="1">
      <alignment horizontal="right" vertical="center" wrapText="1"/>
    </xf>
    <xf numFmtId="0" fontId="51" fillId="0" borderId="1" xfId="1" applyFont="1" applyBorder="1" applyAlignment="1">
      <alignment horizontal="center" vertical="center"/>
    </xf>
    <xf numFmtId="3" fontId="51" fillId="3" borderId="1" xfId="0" applyNumberFormat="1" applyFont="1" applyFill="1" applyBorder="1" applyAlignment="1">
      <alignment horizontal="left" vertical="center" wrapText="1"/>
    </xf>
    <xf numFmtId="0" fontId="51" fillId="2" borderId="1" xfId="1" applyFont="1" applyFill="1" applyBorder="1" applyAlignment="1">
      <alignment horizontal="center" vertical="center"/>
    </xf>
    <xf numFmtId="0" fontId="52" fillId="3" borderId="1" xfId="1" applyFont="1" applyFill="1" applyBorder="1" applyAlignment="1">
      <alignment horizontal="center" vertical="center"/>
    </xf>
    <xf numFmtId="3" fontId="52" fillId="3" borderId="1" xfId="0" applyNumberFormat="1" applyFont="1" applyFill="1" applyBorder="1" applyAlignment="1">
      <alignment horizontal="left" vertical="center" wrapText="1"/>
    </xf>
    <xf numFmtId="49" fontId="52" fillId="3" borderId="1" xfId="1" applyNumberFormat="1" applyFont="1" applyFill="1" applyBorder="1" applyAlignment="1">
      <alignment horizontal="center" vertical="center"/>
    </xf>
    <xf numFmtId="0" fontId="51" fillId="0" borderId="1" xfId="0" applyFont="1" applyBorder="1" applyAlignment="1">
      <alignment horizontal="center" vertical="center"/>
    </xf>
    <xf numFmtId="3" fontId="52" fillId="0" borderId="0" xfId="0" applyNumberFormat="1" applyFont="1" applyAlignment="1">
      <alignment horizontal="center" vertical="center"/>
    </xf>
    <xf numFmtId="49" fontId="41" fillId="0" borderId="12" xfId="6" applyNumberFormat="1" applyFont="1" applyBorder="1" applyAlignment="1" applyProtection="1">
      <alignment horizontal="left" vertical="center" wrapText="1"/>
      <protection locked="0"/>
    </xf>
    <xf numFmtId="0" fontId="42" fillId="2" borderId="4" xfId="6" applyFont="1" applyFill="1" applyBorder="1" applyAlignment="1">
      <alignment horizontal="center" vertical="center"/>
    </xf>
    <xf numFmtId="3" fontId="52" fillId="0" borderId="1" xfId="0" applyNumberFormat="1" applyFont="1" applyFill="1" applyBorder="1" applyAlignment="1">
      <alignment horizontal="center" vertical="center" wrapText="1"/>
    </xf>
    <xf numFmtId="0" fontId="60" fillId="0" borderId="1" xfId="0" applyFont="1" applyFill="1" applyBorder="1" applyAlignment="1">
      <alignment wrapText="1"/>
    </xf>
    <xf numFmtId="0" fontId="60" fillId="0" borderId="1" xfId="0" applyFont="1" applyFill="1" applyBorder="1" applyAlignment="1">
      <alignment vertical="center" wrapText="1"/>
    </xf>
    <xf numFmtId="49" fontId="68" fillId="3" borderId="1" xfId="12" applyNumberFormat="1" applyFont="1" applyFill="1" applyBorder="1" applyAlignment="1">
      <alignment horizontal="left" vertical="center" wrapText="1"/>
    </xf>
    <xf numFmtId="0" fontId="60" fillId="0" borderId="0" xfId="0" applyFont="1" applyAlignment="1">
      <alignment wrapText="1"/>
    </xf>
    <xf numFmtId="49" fontId="55" fillId="0" borderId="1" xfId="6" applyNumberFormat="1" applyFont="1" applyBorder="1" applyAlignment="1" applyProtection="1">
      <alignment horizontal="left" vertical="center" wrapText="1"/>
      <protection locked="0"/>
    </xf>
    <xf numFmtId="3" fontId="44" fillId="32" borderId="1" xfId="0" applyNumberFormat="1" applyFont="1" applyFill="1" applyBorder="1" applyAlignment="1">
      <alignment horizontal="center" vertical="center"/>
    </xf>
    <xf numFmtId="0" fontId="41" fillId="0" borderId="0" xfId="6" applyFont="1" applyAlignment="1">
      <alignment horizontal="left" vertical="center" wrapText="1"/>
    </xf>
    <xf numFmtId="3" fontId="57" fillId="0" borderId="5" xfId="6" applyNumberFormat="1" applyFont="1" applyBorder="1" applyAlignment="1">
      <alignment vertical="center" wrapText="1"/>
    </xf>
    <xf numFmtId="3" fontId="57" fillId="3" borderId="5" xfId="6" applyNumberFormat="1" applyFont="1" applyFill="1" applyBorder="1" applyAlignment="1">
      <alignment vertical="center" wrapText="1"/>
    </xf>
    <xf numFmtId="0" fontId="57" fillId="0" borderId="5" xfId="1" applyFont="1" applyBorder="1" applyAlignment="1">
      <alignment vertical="center"/>
    </xf>
    <xf numFmtId="0" fontId="57" fillId="0" borderId="35" xfId="0" applyFont="1" applyBorder="1"/>
    <xf numFmtId="0" fontId="41" fillId="7" borderId="11" xfId="0" applyFont="1" applyFill="1" applyBorder="1" applyAlignment="1" applyProtection="1">
      <alignment horizontal="left" vertical="center" wrapText="1" indent="1"/>
      <protection locked="0"/>
    </xf>
    <xf numFmtId="0" fontId="41" fillId="7" borderId="36" xfId="0" applyFont="1" applyFill="1" applyBorder="1" applyAlignment="1" applyProtection="1">
      <alignment horizontal="center" vertical="center" wrapText="1"/>
      <protection locked="0"/>
    </xf>
    <xf numFmtId="0" fontId="41" fillId="7" borderId="1" xfId="0" applyFont="1" applyFill="1" applyBorder="1" applyAlignment="1" applyProtection="1">
      <alignment horizontal="left" vertical="center" wrapText="1" indent="1"/>
      <protection locked="0"/>
    </xf>
    <xf numFmtId="166" fontId="43" fillId="33" borderId="1" xfId="12" applyNumberFormat="1" applyFont="1" applyFill="1" applyBorder="1" applyAlignment="1" applyProtection="1">
      <alignment horizontal="left" vertical="center" wrapText="1"/>
      <protection locked="0"/>
    </xf>
    <xf numFmtId="49" fontId="43" fillId="0" borderId="1" xfId="0" applyNumberFormat="1" applyFont="1" applyBorder="1" applyAlignment="1" applyProtection="1">
      <alignment horizontal="left" vertical="center" wrapText="1"/>
      <protection locked="0"/>
    </xf>
    <xf numFmtId="0" fontId="69" fillId="0" borderId="0" xfId="6" applyFont="1"/>
    <xf numFmtId="0" fontId="42" fillId="2" borderId="1" xfId="6" applyFont="1" applyFill="1" applyBorder="1"/>
    <xf numFmtId="168" fontId="41" fillId="0" borderId="4" xfId="6" applyNumberFormat="1" applyFont="1" applyBorder="1"/>
    <xf numFmtId="168" fontId="41" fillId="0" borderId="1" xfId="6" applyNumberFormat="1" applyFont="1" applyBorder="1"/>
    <xf numFmtId="168" fontId="42" fillId="2" borderId="1" xfId="6" applyNumberFormat="1" applyFont="1" applyFill="1" applyBorder="1"/>
    <xf numFmtId="3" fontId="41" fillId="0" borderId="0" xfId="6" applyNumberFormat="1" applyFont="1" applyProtection="1">
      <protection locked="0"/>
    </xf>
    <xf numFmtId="3" fontId="41" fillId="0" borderId="1" xfId="6" applyNumberFormat="1" applyFont="1" applyBorder="1" applyProtection="1">
      <protection locked="0"/>
    </xf>
    <xf numFmtId="0" fontId="41" fillId="0" borderId="3" xfId="6" applyFont="1" applyBorder="1" applyProtection="1">
      <protection locked="0"/>
    </xf>
    <xf numFmtId="3" fontId="42" fillId="2" borderId="1" xfId="0" applyNumberFormat="1" applyFont="1" applyFill="1" applyBorder="1" applyAlignment="1">
      <alignment horizontal="right" vertical="center"/>
    </xf>
    <xf numFmtId="3" fontId="44" fillId="2" borderId="1" xfId="0" applyNumberFormat="1" applyFont="1" applyFill="1" applyBorder="1" applyAlignment="1">
      <alignment horizontal="center" vertical="center"/>
    </xf>
    <xf numFmtId="3" fontId="42" fillId="0" borderId="1" xfId="0" applyNumberFormat="1" applyFont="1" applyBorder="1" applyAlignment="1">
      <alignment horizontal="right" vertical="center"/>
    </xf>
    <xf numFmtId="3" fontId="44" fillId="0" borderId="1" xfId="0" applyNumberFormat="1" applyFont="1" applyBorder="1" applyAlignment="1">
      <alignment horizontal="center" vertical="center"/>
    </xf>
    <xf numFmtId="9" fontId="44" fillId="0" borderId="1" xfId="12" applyFont="1" applyFill="1" applyBorder="1" applyAlignment="1" applyProtection="1">
      <alignment horizontal="center" vertical="center"/>
    </xf>
    <xf numFmtId="0" fontId="42" fillId="2" borderId="1" xfId="0" applyFont="1" applyFill="1" applyBorder="1" applyAlignment="1">
      <alignment horizontal="center" vertical="center"/>
    </xf>
    <xf numFmtId="0" fontId="71" fillId="0" borderId="1" xfId="1" applyFont="1" applyBorder="1" applyAlignment="1">
      <alignment horizontal="center" vertical="center" wrapText="1"/>
    </xf>
    <xf numFmtId="3" fontId="72" fillId="2" borderId="1" xfId="0" applyNumberFormat="1" applyFont="1" applyFill="1" applyBorder="1" applyAlignment="1" applyProtection="1">
      <alignment horizontal="right" vertical="center"/>
      <protection locked="0"/>
    </xf>
    <xf numFmtId="3" fontId="72" fillId="2" borderId="1" xfId="7" applyNumberFormat="1" applyFont="1" applyFill="1" applyBorder="1" applyAlignment="1" applyProtection="1">
      <alignment vertical="center"/>
      <protection locked="0"/>
    </xf>
    <xf numFmtId="3" fontId="72" fillId="2" borderId="1" xfId="5" applyNumberFormat="1" applyFont="1" applyFill="1" applyBorder="1" applyAlignment="1" applyProtection="1">
      <alignment vertical="center"/>
      <protection locked="0"/>
    </xf>
    <xf numFmtId="3" fontId="72" fillId="2" borderId="1" xfId="5" applyNumberFormat="1" applyFont="1" applyFill="1" applyBorder="1" applyAlignment="1" applyProtection="1">
      <alignment vertical="center" wrapText="1"/>
      <protection locked="0"/>
    </xf>
    <xf numFmtId="3" fontId="71" fillId="4" borderId="4" xfId="0" applyNumberFormat="1" applyFont="1" applyFill="1" applyBorder="1" applyAlignment="1" applyProtection="1">
      <alignment vertical="center"/>
      <protection locked="0"/>
    </xf>
    <xf numFmtId="3" fontId="71" fillId="4" borderId="1" xfId="0" applyNumberFormat="1" applyFont="1" applyFill="1" applyBorder="1" applyAlignment="1" applyProtection="1">
      <alignment horizontal="right" vertical="center"/>
      <protection locked="0"/>
    </xf>
    <xf numFmtId="3" fontId="71" fillId="4" borderId="1" xfId="7" applyNumberFormat="1" applyFont="1" applyFill="1" applyBorder="1" applyAlignment="1" applyProtection="1">
      <alignment vertical="center"/>
      <protection locked="0"/>
    </xf>
    <xf numFmtId="3" fontId="71" fillId="4" borderId="1" xfId="5" applyNumberFormat="1" applyFont="1" applyFill="1" applyBorder="1" applyAlignment="1" applyProtection="1">
      <alignment vertical="center"/>
      <protection locked="0"/>
    </xf>
    <xf numFmtId="3" fontId="71" fillId="4" borderId="1" xfId="5" applyNumberFormat="1" applyFont="1" applyFill="1" applyBorder="1" applyAlignment="1" applyProtection="1">
      <alignment vertical="center" wrapText="1"/>
      <protection locked="0"/>
    </xf>
    <xf numFmtId="0" fontId="72" fillId="0" borderId="1" xfId="1" applyFont="1" applyBorder="1" applyAlignment="1">
      <alignment vertical="center"/>
    </xf>
    <xf numFmtId="3" fontId="71" fillId="0" borderId="3" xfId="0" applyNumberFormat="1" applyFont="1" applyBorder="1" applyAlignment="1" applyProtection="1">
      <alignment horizontal="right" vertical="center"/>
      <protection locked="0"/>
    </xf>
    <xf numFmtId="3" fontId="71" fillId="0" borderId="1" xfId="7" applyNumberFormat="1" applyFont="1" applyBorder="1" applyAlignment="1" applyProtection="1">
      <alignment vertical="center"/>
      <protection locked="0"/>
    </xf>
    <xf numFmtId="3" fontId="71" fillId="0" borderId="1" xfId="5" applyNumberFormat="1" applyFont="1" applyBorder="1" applyAlignment="1" applyProtection="1">
      <alignment vertical="center"/>
      <protection locked="0"/>
    </xf>
    <xf numFmtId="3" fontId="71" fillId="0" borderId="1" xfId="5" applyNumberFormat="1" applyFont="1" applyBorder="1" applyAlignment="1" applyProtection="1">
      <alignment vertical="center" wrapText="1"/>
      <protection locked="0"/>
    </xf>
    <xf numFmtId="3" fontId="72" fillId="0" borderId="3" xfId="0" applyNumberFormat="1" applyFont="1" applyBorder="1" applyAlignment="1" applyProtection="1">
      <alignment horizontal="right" vertical="center"/>
      <protection locked="0"/>
    </xf>
    <xf numFmtId="3" fontId="72" fillId="0" borderId="1" xfId="7" applyNumberFormat="1" applyFont="1" applyBorder="1" applyAlignment="1" applyProtection="1">
      <alignment vertical="center"/>
      <protection locked="0"/>
    </xf>
    <xf numFmtId="3" fontId="72" fillId="0" borderId="1" xfId="5" applyNumberFormat="1" applyFont="1" applyBorder="1" applyAlignment="1" applyProtection="1">
      <alignment vertical="center"/>
      <protection locked="0"/>
    </xf>
    <xf numFmtId="3" fontId="72" fillId="0" borderId="1" xfId="5" applyNumberFormat="1" applyFont="1" applyBorder="1" applyAlignment="1" applyProtection="1">
      <alignment vertical="center" wrapText="1"/>
      <protection locked="0"/>
    </xf>
    <xf numFmtId="3" fontId="71" fillId="4" borderId="1" xfId="0" applyNumberFormat="1" applyFont="1" applyFill="1" applyBorder="1" applyAlignment="1" applyProtection="1">
      <alignment vertical="center"/>
      <protection locked="0"/>
    </xf>
    <xf numFmtId="3" fontId="72" fillId="0" borderId="1" xfId="0" applyNumberFormat="1" applyFont="1" applyBorder="1" applyAlignment="1" applyProtection="1">
      <alignment vertical="center"/>
      <protection locked="0"/>
    </xf>
    <xf numFmtId="3" fontId="72" fillId="0" borderId="1" xfId="0" applyNumberFormat="1" applyFont="1" applyBorder="1" applyAlignment="1" applyProtection="1">
      <alignment horizontal="right" vertical="center"/>
      <protection locked="0"/>
    </xf>
    <xf numFmtId="0" fontId="63" fillId="0" borderId="1" xfId="1" applyFont="1" applyBorder="1" applyAlignment="1">
      <alignment vertical="center"/>
    </xf>
    <xf numFmtId="3" fontId="72" fillId="0" borderId="1" xfId="0" applyNumberFormat="1" applyFont="1" applyBorder="1" applyAlignment="1" applyProtection="1">
      <alignment horizontal="center" vertical="center"/>
      <protection locked="0"/>
    </xf>
    <xf numFmtId="3" fontId="72" fillId="0" borderId="0" xfId="1" applyNumberFormat="1" applyFont="1" applyAlignment="1">
      <alignment horizontal="center"/>
    </xf>
    <xf numFmtId="3" fontId="72" fillId="0" borderId="3" xfId="0" applyNumberFormat="1" applyFont="1" applyBorder="1" applyAlignment="1" applyProtection="1">
      <alignment horizontal="center" vertical="center"/>
      <protection locked="0"/>
    </xf>
    <xf numFmtId="0" fontId="72" fillId="0" borderId="1" xfId="0" applyFont="1" applyBorder="1" applyAlignment="1">
      <alignment vertical="center" wrapText="1"/>
    </xf>
    <xf numFmtId="3" fontId="72" fillId="0" borderId="1" xfId="0" applyNumberFormat="1" applyFont="1" applyBorder="1" applyAlignment="1">
      <alignment horizontal="center" vertical="center" wrapText="1"/>
    </xf>
    <xf numFmtId="3" fontId="71" fillId="0" borderId="1" xfId="0" applyNumberFormat="1" applyFont="1" applyBorder="1" applyAlignment="1" applyProtection="1">
      <alignment horizontal="right" vertical="center"/>
      <protection locked="0"/>
    </xf>
    <xf numFmtId="3" fontId="72" fillId="0" borderId="1" xfId="1" applyNumberFormat="1" applyFont="1" applyBorder="1" applyAlignment="1">
      <alignment horizontal="center" vertical="center"/>
    </xf>
    <xf numFmtId="3" fontId="71" fillId="0" borderId="1" xfId="0" applyNumberFormat="1" applyFont="1" applyBorder="1" applyAlignment="1" applyProtection="1">
      <alignment horizontal="center" vertical="center"/>
      <protection locked="0"/>
    </xf>
    <xf numFmtId="3" fontId="71" fillId="2" borderId="1" xfId="1" applyNumberFormat="1" applyFont="1" applyFill="1" applyBorder="1" applyAlignment="1">
      <alignment vertical="center" wrapText="1"/>
    </xf>
    <xf numFmtId="3" fontId="72" fillId="0" borderId="1" xfId="1" applyNumberFormat="1" applyFont="1" applyBorder="1" applyAlignment="1">
      <alignment vertical="center" wrapText="1"/>
    </xf>
    <xf numFmtId="3" fontId="72" fillId="0" borderId="1" xfId="1" applyNumberFormat="1" applyFont="1" applyBorder="1" applyAlignment="1">
      <alignment vertical="center"/>
    </xf>
    <xf numFmtId="0" fontId="72" fillId="0" borderId="1" xfId="0" applyFont="1" applyBorder="1"/>
    <xf numFmtId="3" fontId="72" fillId="0" borderId="1" xfId="1" applyNumberFormat="1" applyFont="1" applyBorder="1"/>
    <xf numFmtId="3" fontId="71" fillId="2" borderId="1" xfId="1" applyNumberFormat="1" applyFont="1" applyFill="1" applyBorder="1" applyAlignment="1">
      <alignment vertical="center"/>
    </xf>
    <xf numFmtId="3" fontId="71" fillId="0" borderId="1" xfId="1" applyNumberFormat="1" applyFont="1" applyBorder="1" applyAlignment="1">
      <alignment vertical="center"/>
    </xf>
    <xf numFmtId="3" fontId="71" fillId="0" borderId="1" xfId="1" applyNumberFormat="1" applyFont="1" applyBorder="1" applyAlignment="1">
      <alignment horizontal="center" vertical="center"/>
    </xf>
    <xf numFmtId="0" fontId="72" fillId="0" borderId="1" xfId="1" applyFont="1" applyBorder="1" applyAlignment="1">
      <alignment vertical="center" wrapText="1"/>
    </xf>
    <xf numFmtId="3" fontId="72" fillId="0" borderId="5" xfId="1" applyNumberFormat="1" applyFont="1" applyBorder="1" applyAlignment="1">
      <alignment vertical="center"/>
    </xf>
    <xf numFmtId="0" fontId="63" fillId="0" borderId="0" xfId="1" applyFont="1" applyAlignment="1">
      <alignment vertical="center"/>
    </xf>
    <xf numFmtId="3" fontId="73" fillId="2" borderId="1" xfId="1" applyNumberFormat="1" applyFont="1" applyFill="1" applyBorder="1" applyAlignment="1">
      <alignment vertical="center"/>
    </xf>
    <xf numFmtId="3" fontId="73" fillId="2" borderId="1" xfId="1" applyNumberFormat="1" applyFont="1" applyFill="1" applyBorder="1" applyAlignment="1">
      <alignment vertical="center" wrapText="1"/>
    </xf>
    <xf numFmtId="0" fontId="63" fillId="0" borderId="0" xfId="1" applyFont="1" applyAlignment="1">
      <alignment vertical="center" wrapText="1"/>
    </xf>
    <xf numFmtId="3" fontId="41" fillId="0" borderId="1" xfId="6" applyNumberFormat="1" applyFont="1" applyBorder="1" applyAlignment="1" applyProtection="1">
      <alignment horizontal="center" vertical="center"/>
      <protection locked="0"/>
    </xf>
    <xf numFmtId="9" fontId="41" fillId="0" borderId="1" xfId="12" applyFont="1" applyFill="1" applyBorder="1" applyAlignment="1" applyProtection="1">
      <alignment horizontal="center" vertical="center"/>
      <protection locked="0"/>
    </xf>
    <xf numFmtId="3" fontId="43" fillId="0" borderId="1" xfId="1" applyNumberFormat="1" applyFont="1" applyFill="1" applyBorder="1" applyAlignment="1" applyProtection="1">
      <alignment horizontal="center" vertical="center"/>
      <protection locked="0"/>
    </xf>
    <xf numFmtId="0" fontId="41" fillId="0" borderId="0" xfId="0" applyFont="1" applyAlignment="1" applyProtection="1">
      <alignment wrapText="1"/>
      <protection locked="0"/>
    </xf>
    <xf numFmtId="0" fontId="41" fillId="0" borderId="0" xfId="0" applyFont="1" applyAlignment="1">
      <alignment wrapText="1"/>
    </xf>
    <xf numFmtId="3" fontId="52" fillId="0" borderId="0" xfId="0" applyNumberFormat="1" applyFont="1" applyAlignment="1">
      <alignment horizontal="left" vertical="center" wrapText="1"/>
    </xf>
    <xf numFmtId="168" fontId="57" fillId="0" borderId="1" xfId="0" applyNumberFormat="1" applyFont="1" applyBorder="1"/>
    <xf numFmtId="3" fontId="57" fillId="0" borderId="1" xfId="5" applyNumberFormat="1" applyFont="1" applyBorder="1" applyAlignment="1" applyProtection="1">
      <alignment vertical="center" wrapText="1"/>
      <protection locked="0"/>
    </xf>
    <xf numFmtId="3" fontId="57" fillId="0" borderId="1" xfId="5" applyNumberFormat="1" applyFont="1" applyBorder="1" applyAlignment="1" applyProtection="1">
      <alignment vertical="center"/>
      <protection locked="0"/>
    </xf>
    <xf numFmtId="3" fontId="56" fillId="4" borderId="1" xfId="0" applyNumberFormat="1" applyFont="1" applyFill="1" applyBorder="1" applyAlignment="1" applyProtection="1">
      <alignment horizontal="right" vertical="center"/>
      <protection locked="0"/>
    </xf>
    <xf numFmtId="3" fontId="57" fillId="0" borderId="1" xfId="0" applyNumberFormat="1" applyFont="1" applyBorder="1" applyAlignment="1" applyProtection="1">
      <alignment horizontal="right" vertical="center"/>
      <protection locked="0"/>
    </xf>
    <xf numFmtId="3" fontId="56" fillId="2" borderId="1" xfId="1" applyNumberFormat="1" applyFont="1" applyFill="1" applyBorder="1" applyAlignment="1">
      <alignment horizontal="center" vertical="center"/>
    </xf>
    <xf numFmtId="3" fontId="56" fillId="2" borderId="1" xfId="1" applyNumberFormat="1" applyFont="1" applyFill="1" applyBorder="1" applyAlignment="1">
      <alignment vertical="center"/>
    </xf>
    <xf numFmtId="3" fontId="57" fillId="2" borderId="1" xfId="1" applyNumberFormat="1" applyFont="1" applyFill="1" applyBorder="1" applyAlignment="1">
      <alignment vertical="center" wrapText="1"/>
    </xf>
    <xf numFmtId="3" fontId="56" fillId="0" borderId="1" xfId="1" applyNumberFormat="1" applyFont="1" applyBorder="1" applyAlignment="1">
      <alignment vertical="center"/>
    </xf>
    <xf numFmtId="3" fontId="56" fillId="2" borderId="1" xfId="1" applyNumberFormat="1" applyFont="1" applyFill="1" applyBorder="1" applyAlignment="1">
      <alignment vertical="center" wrapText="1"/>
    </xf>
    <xf numFmtId="0" fontId="57" fillId="0" borderId="1" xfId="1" applyFont="1" applyBorder="1" applyAlignment="1">
      <alignment vertical="center" wrapText="1"/>
    </xf>
    <xf numFmtId="168" fontId="57" fillId="0" borderId="1" xfId="1" applyNumberFormat="1" applyFont="1" applyBorder="1" applyAlignment="1">
      <alignment vertical="center"/>
    </xf>
    <xf numFmtId="168" fontId="57" fillId="0" borderId="33" xfId="0" applyNumberFormat="1" applyFont="1" applyBorder="1"/>
    <xf numFmtId="168" fontId="57" fillId="0" borderId="34" xfId="0" applyNumberFormat="1" applyFont="1" applyBorder="1"/>
    <xf numFmtId="168" fontId="57" fillId="0" borderId="1" xfId="1" applyNumberFormat="1" applyFont="1" applyBorder="1" applyAlignment="1">
      <alignment horizontal="right"/>
    </xf>
    <xf numFmtId="168" fontId="57" fillId="0" borderId="3" xfId="1" applyNumberFormat="1" applyFont="1" applyBorder="1" applyAlignment="1">
      <alignment vertical="center"/>
    </xf>
    <xf numFmtId="168" fontId="57" fillId="0" borderId="3" xfId="1" applyNumberFormat="1" applyFont="1" applyBorder="1"/>
    <xf numFmtId="3" fontId="57" fillId="0" borderId="1" xfId="1" applyNumberFormat="1" applyFont="1" applyBorder="1" applyAlignment="1">
      <alignment vertical="center"/>
    </xf>
    <xf numFmtId="3" fontId="57" fillId="0" borderId="3" xfId="1" applyNumberFormat="1" applyFont="1" applyBorder="1"/>
    <xf numFmtId="3" fontId="41" fillId="0" borderId="1" xfId="1" applyNumberFormat="1" applyFont="1" applyFill="1" applyBorder="1" applyAlignment="1" applyProtection="1">
      <alignment horizontal="right" vertical="center"/>
      <protection locked="0"/>
    </xf>
    <xf numFmtId="3" fontId="64" fillId="6" borderId="1" xfId="0" applyNumberFormat="1" applyFont="1" applyFill="1" applyBorder="1" applyAlignment="1">
      <alignment horizontal="center" vertical="center" wrapText="1"/>
    </xf>
    <xf numFmtId="166" fontId="64" fillId="6" borderId="1" xfId="12" applyNumberFormat="1" applyFont="1" applyFill="1" applyBorder="1" applyAlignment="1" applyProtection="1">
      <alignment horizontal="center" vertical="center" wrapText="1"/>
    </xf>
    <xf numFmtId="1" fontId="52" fillId="0" borderId="1" xfId="0" applyNumberFormat="1" applyFont="1" applyFill="1" applyBorder="1" applyAlignment="1" applyProtection="1">
      <alignment horizontal="right" vertical="center" wrapText="1"/>
      <protection locked="0"/>
    </xf>
    <xf numFmtId="3" fontId="52" fillId="0" borderId="0" xfId="0" applyNumberFormat="1" applyFont="1" applyAlignment="1">
      <alignment vertical="center" wrapText="1"/>
    </xf>
    <xf numFmtId="49" fontId="52" fillId="0" borderId="1" xfId="0" applyNumberFormat="1" applyFont="1" applyFill="1" applyBorder="1" applyAlignment="1">
      <alignment horizontal="center" vertical="center"/>
    </xf>
    <xf numFmtId="3" fontId="52" fillId="0" borderId="1" xfId="0" applyNumberFormat="1" applyFont="1" applyFill="1" applyBorder="1" applyAlignment="1" applyProtection="1">
      <alignment horizontal="right" vertical="center" wrapText="1"/>
      <protection locked="0"/>
    </xf>
    <xf numFmtId="3" fontId="64" fillId="0" borderId="1" xfId="0" applyNumberFormat="1" applyFont="1" applyFill="1" applyBorder="1" applyAlignment="1">
      <alignment horizontal="center" vertical="center" wrapText="1"/>
    </xf>
    <xf numFmtId="3" fontId="61" fillId="0" borderId="1" xfId="0" applyNumberFormat="1" applyFont="1" applyFill="1" applyBorder="1" applyAlignment="1" applyProtection="1">
      <alignment horizontal="center" vertical="center" wrapText="1"/>
      <protection locked="0"/>
    </xf>
    <xf numFmtId="3" fontId="52" fillId="0" borderId="0" xfId="0" applyNumberFormat="1" applyFont="1" applyFill="1" applyAlignment="1">
      <alignment vertical="center"/>
    </xf>
    <xf numFmtId="3" fontId="52" fillId="0" borderId="1" xfId="0" applyNumberFormat="1" applyFont="1" applyFill="1" applyBorder="1" applyAlignment="1">
      <alignment horizontal="left" vertical="center" wrapText="1"/>
    </xf>
    <xf numFmtId="3" fontId="52" fillId="0" borderId="1" xfId="0" applyNumberFormat="1" applyFont="1" applyBorder="1" applyAlignment="1">
      <alignment horizontal="left" vertical="center" wrapText="1"/>
    </xf>
    <xf numFmtId="3" fontId="51" fillId="3" borderId="1" xfId="1" applyNumberFormat="1" applyFont="1" applyFill="1" applyBorder="1" applyAlignment="1">
      <alignment horizontal="left" vertical="center" wrapText="1"/>
    </xf>
    <xf numFmtId="3" fontId="51" fillId="0" borderId="1" xfId="1" applyNumberFormat="1" applyFont="1" applyBorder="1" applyAlignment="1">
      <alignment horizontal="left" vertical="center" wrapText="1"/>
    </xf>
    <xf numFmtId="0" fontId="51" fillId="2" borderId="1" xfId="0" applyFont="1" applyFill="1" applyBorder="1" applyAlignment="1">
      <alignment vertical="center" wrapText="1"/>
    </xf>
    <xf numFmtId="0" fontId="51" fillId="3" borderId="1" xfId="0" applyFont="1" applyFill="1" applyBorder="1" applyAlignment="1">
      <alignment vertical="center" wrapText="1"/>
    </xf>
    <xf numFmtId="0" fontId="52" fillId="2" borderId="1" xfId="0" applyFont="1" applyFill="1" applyBorder="1" applyAlignment="1">
      <alignment horizontal="left" vertical="center" wrapText="1"/>
    </xf>
    <xf numFmtId="3" fontId="51" fillId="0" borderId="1" xfId="0" applyNumberFormat="1" applyFont="1" applyBorder="1" applyAlignment="1">
      <alignment horizontal="left" vertical="center" wrapText="1"/>
    </xf>
    <xf numFmtId="3" fontId="44" fillId="4" borderId="1" xfId="6" applyNumberFormat="1" applyFont="1" applyFill="1" applyBorder="1" applyAlignment="1">
      <alignment horizontal="center" vertical="center"/>
    </xf>
    <xf numFmtId="0" fontId="47" fillId="33" borderId="1" xfId="12" applyNumberFormat="1" applyFont="1" applyFill="1" applyBorder="1" applyAlignment="1" applyProtection="1">
      <alignment horizontal="left" vertical="center" wrapText="1"/>
    </xf>
    <xf numFmtId="49" fontId="43" fillId="0" borderId="1" xfId="6" applyNumberFormat="1" applyFont="1" applyFill="1" applyBorder="1" applyAlignment="1" applyProtection="1">
      <alignment horizontal="left" vertical="center" wrapText="1"/>
      <protection locked="0"/>
    </xf>
    <xf numFmtId="49" fontId="69" fillId="0" borderId="1" xfId="1" applyNumberFormat="1" applyFont="1" applyBorder="1" applyAlignment="1">
      <alignment vertical="center"/>
    </xf>
    <xf numFmtId="49" fontId="69" fillId="2" borderId="1" xfId="1" applyNumberFormat="1" applyFont="1" applyFill="1" applyBorder="1" applyAlignment="1" applyProtection="1">
      <alignment horizontal="left" vertical="center" wrapText="1"/>
      <protection locked="0"/>
    </xf>
    <xf numFmtId="49" fontId="69" fillId="0" borderId="27" xfId="1" applyNumberFormat="1" applyFont="1" applyBorder="1" applyAlignment="1">
      <alignment horizontal="left" vertical="center"/>
    </xf>
    <xf numFmtId="49" fontId="69" fillId="0" borderId="0" xfId="1" applyNumberFormat="1" applyFont="1" applyAlignment="1">
      <alignment horizontal="left" vertical="center"/>
    </xf>
    <xf numFmtId="0" fontId="69" fillId="0" borderId="0" xfId="0" applyFont="1" applyProtection="1">
      <protection locked="0"/>
    </xf>
    <xf numFmtId="1" fontId="63" fillId="0" borderId="1" xfId="0" applyNumberFormat="1" applyFont="1" applyFill="1" applyBorder="1" applyAlignment="1">
      <alignment horizontal="center" vertical="center" wrapText="1"/>
    </xf>
    <xf numFmtId="1" fontId="63" fillId="0" borderId="1" xfId="0" applyNumberFormat="1" applyFont="1" applyBorder="1" applyAlignment="1">
      <alignment horizontal="center" vertical="center" wrapText="1"/>
    </xf>
    <xf numFmtId="1" fontId="73" fillId="2" borderId="1" xfId="0" applyNumberFormat="1" applyFont="1" applyFill="1" applyBorder="1" applyAlignment="1">
      <alignment horizontal="right" vertical="center" wrapText="1"/>
    </xf>
    <xf numFmtId="1" fontId="63" fillId="0" borderId="1" xfId="0" applyNumberFormat="1" applyFont="1" applyFill="1" applyBorder="1" applyAlignment="1" applyProtection="1">
      <alignment horizontal="right" vertical="center" wrapText="1"/>
      <protection locked="0"/>
    </xf>
    <xf numFmtId="1" fontId="63" fillId="3" borderId="1" xfId="0" applyNumberFormat="1" applyFont="1" applyFill="1" applyBorder="1" applyAlignment="1" applyProtection="1">
      <alignment horizontal="right" vertical="center" wrapText="1"/>
      <protection locked="0"/>
    </xf>
    <xf numFmtId="1" fontId="63" fillId="0" borderId="1" xfId="0" applyNumberFormat="1" applyFont="1" applyBorder="1" applyAlignment="1" applyProtection="1">
      <alignment horizontal="right" vertical="center" wrapText="1"/>
      <protection locked="0"/>
    </xf>
    <xf numFmtId="1" fontId="73" fillId="2" borderId="1" xfId="0" applyNumberFormat="1" applyFont="1" applyFill="1" applyBorder="1" applyAlignment="1" applyProtection="1">
      <alignment horizontal="right" vertical="center" wrapText="1"/>
      <protection locked="0"/>
    </xf>
    <xf numFmtId="1" fontId="73" fillId="3" borderId="1" xfId="0" applyNumberFormat="1" applyFont="1" applyFill="1" applyBorder="1" applyAlignment="1" applyProtection="1">
      <alignment horizontal="right" vertical="center" wrapText="1"/>
      <protection locked="0"/>
    </xf>
    <xf numFmtId="1" fontId="73" fillId="3" borderId="1" xfId="1" applyNumberFormat="1" applyFont="1" applyFill="1" applyBorder="1" applyAlignment="1" applyProtection="1">
      <alignment horizontal="right" vertical="center" wrapText="1"/>
      <protection locked="0"/>
    </xf>
    <xf numFmtId="1" fontId="73" fillId="0" borderId="1" xfId="1" applyNumberFormat="1" applyFont="1" applyBorder="1" applyAlignment="1" applyProtection="1">
      <alignment horizontal="right" vertical="center" wrapText="1"/>
      <protection locked="0"/>
    </xf>
    <xf numFmtId="1" fontId="63" fillId="3" borderId="1" xfId="0" applyNumberFormat="1" applyFont="1" applyFill="1" applyBorder="1" applyAlignment="1">
      <alignment horizontal="right" vertical="center" wrapText="1"/>
    </xf>
    <xf numFmtId="1" fontId="63" fillId="2" borderId="1" xfId="0" applyNumberFormat="1" applyFont="1" applyFill="1" applyBorder="1" applyAlignment="1">
      <alignment horizontal="right" vertical="center" wrapText="1"/>
    </xf>
    <xf numFmtId="1" fontId="73" fillId="0" borderId="1" xfId="0" applyNumberFormat="1" applyFont="1" applyBorder="1" applyAlignment="1" applyProtection="1">
      <alignment horizontal="right" vertical="center" wrapText="1"/>
      <protection locked="0"/>
    </xf>
    <xf numFmtId="1" fontId="74" fillId="2" borderId="1" xfId="0" applyNumberFormat="1" applyFont="1" applyFill="1" applyBorder="1" applyAlignment="1">
      <alignment horizontal="right" vertical="center" wrapText="1"/>
    </xf>
    <xf numFmtId="2" fontId="73" fillId="2" borderId="1" xfId="0" applyNumberFormat="1" applyFont="1" applyFill="1" applyBorder="1" applyAlignment="1">
      <alignment horizontal="right" vertical="center" wrapText="1"/>
    </xf>
    <xf numFmtId="1" fontId="63" fillId="0" borderId="0" xfId="0" applyNumberFormat="1" applyFont="1" applyAlignment="1">
      <alignment vertical="center"/>
    </xf>
    <xf numFmtId="2" fontId="51" fillId="2" borderId="1" xfId="0" applyNumberFormat="1" applyFont="1" applyFill="1" applyBorder="1" applyAlignment="1">
      <alignment horizontal="right" vertical="center" wrapText="1"/>
    </xf>
    <xf numFmtId="3" fontId="47" fillId="0" borderId="1" xfId="0" applyNumberFormat="1" applyFont="1" applyBorder="1" applyAlignment="1">
      <alignment horizontal="center" vertical="center" wrapText="1"/>
    </xf>
    <xf numFmtId="3" fontId="47" fillId="0" borderId="1" xfId="1467" applyNumberFormat="1" applyFont="1" applyBorder="1" applyAlignment="1" applyProtection="1">
      <alignment horizontal="center" vertical="center"/>
      <protection locked="0"/>
    </xf>
    <xf numFmtId="3" fontId="46" fillId="6" borderId="1" xfId="1467" applyNumberFormat="1" applyFont="1" applyFill="1" applyBorder="1" applyAlignment="1">
      <alignment horizontal="center" vertical="center"/>
    </xf>
    <xf numFmtId="3" fontId="57" fillId="0" borderId="1" xfId="0" applyNumberFormat="1" applyFont="1" applyBorder="1" applyAlignment="1" applyProtection="1">
      <alignment vertical="center"/>
      <protection locked="0"/>
    </xf>
    <xf numFmtId="3" fontId="56" fillId="4" borderId="1" xfId="0" applyNumberFormat="1" applyFont="1" applyFill="1" applyBorder="1" applyAlignment="1" applyProtection="1">
      <alignment vertical="center"/>
      <protection locked="0"/>
    </xf>
    <xf numFmtId="3" fontId="56" fillId="4" borderId="1" xfId="0" applyNumberFormat="1" applyFont="1" applyFill="1" applyBorder="1" applyAlignment="1" applyProtection="1">
      <alignment horizontal="center" vertical="center"/>
      <protection locked="0"/>
    </xf>
    <xf numFmtId="3" fontId="56" fillId="2" borderId="1" xfId="0" applyNumberFormat="1" applyFont="1" applyFill="1" applyBorder="1" applyAlignment="1" applyProtection="1">
      <alignment horizontal="center" vertical="center"/>
      <protection locked="0"/>
    </xf>
    <xf numFmtId="168" fontId="57" fillId="0" borderId="1" xfId="0" applyNumberFormat="1" applyFont="1" applyBorder="1" applyAlignment="1"/>
    <xf numFmtId="0" fontId="57" fillId="0" borderId="0" xfId="1" applyFont="1" applyAlignment="1">
      <alignment horizontal="right" vertical="center"/>
    </xf>
    <xf numFmtId="0" fontId="57" fillId="0" borderId="0" xfId="1" applyFont="1" applyAlignment="1">
      <alignment vertical="center"/>
    </xf>
    <xf numFmtId="3" fontId="57" fillId="0" borderId="1" xfId="0" applyNumberFormat="1" applyFont="1" applyBorder="1" applyAlignment="1">
      <alignment horizontal="right"/>
    </xf>
    <xf numFmtId="1" fontId="57" fillId="0" borderId="1" xfId="0" applyNumberFormat="1" applyFont="1" applyBorder="1" applyAlignment="1">
      <alignment horizontal="right"/>
    </xf>
    <xf numFmtId="168" fontId="57" fillId="0" borderId="28" xfId="0" applyNumberFormat="1" applyFont="1" applyBorder="1" applyAlignment="1">
      <alignment horizontal="right"/>
    </xf>
    <xf numFmtId="168" fontId="57" fillId="0" borderId="1" xfId="0" applyNumberFormat="1" applyFont="1" applyBorder="1" applyAlignment="1">
      <alignment horizontal="right"/>
    </xf>
    <xf numFmtId="1" fontId="57" fillId="0" borderId="0" xfId="1" applyNumberFormat="1" applyFont="1" applyAlignment="1">
      <alignment horizontal="right"/>
    </xf>
    <xf numFmtId="0" fontId="52" fillId="0" borderId="1" xfId="1" applyFont="1" applyBorder="1" applyAlignment="1">
      <alignment horizontal="right"/>
    </xf>
    <xf numFmtId="168" fontId="57" fillId="0" borderId="1" xfId="1" applyNumberFormat="1" applyFont="1" applyBorder="1" applyAlignment="1"/>
    <xf numFmtId="3" fontId="57" fillId="0" borderId="3" xfId="0" applyNumberFormat="1" applyFont="1" applyBorder="1" applyAlignment="1" applyProtection="1">
      <alignment horizontal="right" vertical="center"/>
      <protection locked="0"/>
    </xf>
    <xf numFmtId="3" fontId="57" fillId="0" borderId="3" xfId="0" applyNumberFormat="1" applyFont="1" applyBorder="1" applyAlignment="1" applyProtection="1">
      <alignment vertical="center"/>
      <protection locked="0"/>
    </xf>
    <xf numFmtId="3" fontId="56" fillId="4" borderId="4" xfId="0" applyNumberFormat="1" applyFont="1" applyFill="1" applyBorder="1" applyAlignment="1" applyProtection="1">
      <alignment horizontal="center" vertical="center"/>
      <protection locked="0"/>
    </xf>
    <xf numFmtId="3" fontId="57" fillId="0" borderId="1" xfId="0" applyNumberFormat="1" applyFont="1" applyBorder="1" applyAlignment="1" applyProtection="1">
      <alignment horizontal="center" vertical="center"/>
      <protection locked="0"/>
    </xf>
    <xf numFmtId="3" fontId="57" fillId="0" borderId="1" xfId="1" applyNumberFormat="1" applyFont="1" applyBorder="1" applyAlignment="1">
      <alignment horizontal="center" vertical="center"/>
    </xf>
    <xf numFmtId="0" fontId="57" fillId="0" borderId="1" xfId="1" applyFont="1" applyBorder="1" applyAlignment="1">
      <alignment horizontal="center" vertical="center"/>
    </xf>
    <xf numFmtId="3" fontId="57" fillId="0" borderId="0" xfId="0" applyNumberFormat="1" applyFont="1" applyAlignment="1">
      <alignment horizontal="center"/>
    </xf>
    <xf numFmtId="3" fontId="57" fillId="0" borderId="1" xfId="0" applyNumberFormat="1" applyFont="1" applyBorder="1" applyAlignment="1">
      <alignment horizontal="center"/>
    </xf>
    <xf numFmtId="3" fontId="57" fillId="0" borderId="1" xfId="1" applyNumberFormat="1" applyFont="1" applyBorder="1" applyAlignment="1">
      <alignment horizontal="right" vertical="center"/>
    </xf>
    <xf numFmtId="168" fontId="57" fillId="0" borderId="1" xfId="0" applyNumberFormat="1" applyFont="1" applyBorder="1" applyAlignment="1">
      <alignment horizontal="right" vertical="center"/>
    </xf>
    <xf numFmtId="3" fontId="57" fillId="3" borderId="1" xfId="1" applyNumberFormat="1" applyFont="1" applyFill="1" applyBorder="1" applyAlignment="1">
      <alignment horizontal="right" vertical="center"/>
    </xf>
    <xf numFmtId="0" fontId="69" fillId="0" borderId="1" xfId="6" applyFont="1" applyBorder="1"/>
    <xf numFmtId="0" fontId="69" fillId="0" borderId="1" xfId="6" applyFont="1" applyBorder="1" applyProtection="1">
      <protection locked="0"/>
    </xf>
    <xf numFmtId="0" fontId="69" fillId="2" borderId="1" xfId="6" applyFont="1" applyFill="1" applyBorder="1"/>
    <xf numFmtId="0" fontId="41" fillId="7" borderId="10" xfId="0" applyFont="1" applyFill="1" applyBorder="1" applyAlignment="1" applyProtection="1">
      <alignment horizontal="right" vertical="center" wrapText="1"/>
      <protection locked="0"/>
    </xf>
    <xf numFmtId="3" fontId="46" fillId="2" borderId="1" xfId="6" applyNumberFormat="1" applyFont="1" applyFill="1" applyBorder="1" applyAlignment="1">
      <alignment horizontal="right" vertical="center" wrapText="1"/>
    </xf>
    <xf numFmtId="3" fontId="41" fillId="5" borderId="1" xfId="0" applyNumberFormat="1" applyFont="1" applyFill="1" applyBorder="1" applyAlignment="1">
      <alignment horizontal="center" vertical="center" wrapText="1"/>
    </xf>
    <xf numFmtId="49" fontId="41" fillId="33" borderId="1" xfId="1" applyNumberFormat="1" applyFont="1" applyFill="1" applyBorder="1" applyAlignment="1">
      <alignment vertical="center" wrapText="1"/>
    </xf>
    <xf numFmtId="49" fontId="47" fillId="33" borderId="1" xfId="1" applyNumberFormat="1" applyFont="1" applyFill="1" applyBorder="1" applyAlignment="1">
      <alignment vertical="center" wrapText="1"/>
    </xf>
    <xf numFmtId="49" fontId="41" fillId="33" borderId="1" xfId="1" applyNumberFormat="1" applyFont="1" applyFill="1" applyBorder="1" applyAlignment="1" applyProtection="1">
      <alignment horizontal="left" vertical="center" wrapText="1"/>
      <protection locked="0"/>
    </xf>
    <xf numFmtId="0" fontId="41" fillId="33" borderId="0" xfId="0" applyFont="1" applyFill="1" applyAlignment="1" applyProtection="1">
      <alignment wrapText="1"/>
      <protection locked="0"/>
    </xf>
    <xf numFmtId="49" fontId="42" fillId="0" borderId="27" xfId="6" applyNumberFormat="1" applyFont="1" applyBorder="1" applyAlignment="1">
      <alignment horizontal="left" vertical="center"/>
    </xf>
    <xf numFmtId="49" fontId="41" fillId="0" borderId="0" xfId="0" applyNumberFormat="1" applyFont="1" applyAlignment="1">
      <alignment horizontal="left" vertical="center"/>
    </xf>
    <xf numFmtId="49" fontId="42" fillId="0" borderId="27" xfId="6" applyNumberFormat="1" applyFont="1" applyBorder="1" applyAlignment="1">
      <alignment horizontal="left" vertical="center" wrapText="1"/>
    </xf>
    <xf numFmtId="3" fontId="41" fillId="0" borderId="1" xfId="0" applyNumberFormat="1" applyFont="1" applyFill="1" applyBorder="1" applyAlignment="1">
      <alignment vertical="center" wrapText="1"/>
    </xf>
    <xf numFmtId="3" fontId="52" fillId="33" borderId="1" xfId="0" applyNumberFormat="1" applyFont="1" applyFill="1" applyBorder="1" applyAlignment="1">
      <alignment vertical="center" wrapText="1"/>
    </xf>
    <xf numFmtId="49" fontId="42" fillId="0" borderId="1" xfId="6" applyNumberFormat="1" applyFont="1" applyBorder="1" applyAlignment="1" applyProtection="1">
      <alignment horizontal="left" vertical="center"/>
      <protection locked="0"/>
    </xf>
    <xf numFmtId="49" fontId="41" fillId="0" borderId="1" xfId="6" applyNumberFormat="1" applyFont="1" applyFill="1" applyBorder="1" applyAlignment="1" applyProtection="1">
      <alignment horizontal="left" vertical="center" wrapText="1"/>
      <protection locked="0"/>
    </xf>
    <xf numFmtId="49" fontId="41" fillId="33" borderId="1" xfId="6" applyNumberFormat="1" applyFont="1" applyFill="1" applyBorder="1" applyAlignment="1" applyProtection="1">
      <alignment horizontal="left" vertical="center" wrapText="1"/>
      <protection locked="0"/>
    </xf>
    <xf numFmtId="3" fontId="41" fillId="33" borderId="1" xfId="0" applyNumberFormat="1" applyFont="1" applyFill="1" applyBorder="1" applyAlignment="1" applyProtection="1">
      <alignment horizontal="left" vertical="center" wrapText="1"/>
      <protection locked="0"/>
    </xf>
    <xf numFmtId="49" fontId="42" fillId="2" borderId="27" xfId="6" applyNumberFormat="1" applyFont="1" applyFill="1" applyBorder="1" applyAlignment="1">
      <alignment horizontal="left" vertical="center"/>
    </xf>
    <xf numFmtId="3" fontId="52" fillId="33" borderId="1" xfId="0" applyNumberFormat="1" applyFont="1" applyFill="1" applyBorder="1" applyAlignment="1" applyProtection="1">
      <alignment vertical="center" wrapText="1"/>
      <protection locked="0"/>
    </xf>
    <xf numFmtId="3" fontId="64" fillId="0" borderId="27" xfId="0" applyNumberFormat="1" applyFont="1" applyBorder="1" applyAlignment="1">
      <alignment horizontal="left" vertical="center" wrapText="1"/>
    </xf>
    <xf numFmtId="3" fontId="52" fillId="0" borderId="1" xfId="0" applyNumberFormat="1" applyFont="1" applyFill="1" applyBorder="1" applyAlignment="1">
      <alignment vertical="center" wrapText="1"/>
    </xf>
    <xf numFmtId="3" fontId="52" fillId="33" borderId="4" xfId="0" applyNumberFormat="1" applyFont="1" applyFill="1" applyBorder="1" applyAlignment="1">
      <alignment horizontal="left" vertical="center" wrapText="1"/>
    </xf>
    <xf numFmtId="3" fontId="64" fillId="0" borderId="1" xfId="0" applyNumberFormat="1" applyFont="1" applyBorder="1" applyAlignment="1" applyProtection="1">
      <alignment horizontal="left" vertical="center" wrapText="1"/>
      <protection locked="0"/>
    </xf>
    <xf numFmtId="3" fontId="52" fillId="33" borderId="1" xfId="0" applyNumberFormat="1" applyFont="1" applyFill="1" applyBorder="1" applyAlignment="1" applyProtection="1">
      <alignment horizontal="left" vertical="center" wrapText="1"/>
      <protection locked="0"/>
    </xf>
    <xf numFmtId="3" fontId="52" fillId="0" borderId="1" xfId="0" applyNumberFormat="1" applyFont="1" applyFill="1" applyBorder="1" applyAlignment="1" applyProtection="1">
      <alignment horizontal="left" vertical="center" wrapText="1"/>
      <protection locked="0"/>
    </xf>
    <xf numFmtId="3" fontId="64" fillId="0" borderId="27" xfId="0" applyNumberFormat="1" applyFont="1" applyBorder="1" applyAlignment="1">
      <alignment vertical="center" wrapText="1"/>
    </xf>
    <xf numFmtId="3" fontId="52" fillId="3" borderId="1" xfId="0" applyNumberFormat="1" applyFont="1" applyFill="1" applyBorder="1" applyAlignment="1">
      <alignment vertical="center" wrapText="1"/>
    </xf>
    <xf numFmtId="3" fontId="52" fillId="2" borderId="1" xfId="0" applyNumberFormat="1" applyFont="1" applyFill="1" applyBorder="1" applyAlignment="1">
      <alignment vertical="center" wrapText="1"/>
    </xf>
    <xf numFmtId="3" fontId="64" fillId="0" borderId="27" xfId="0" applyNumberFormat="1" applyFont="1" applyBorder="1" applyAlignment="1" applyProtection="1">
      <alignment horizontal="left" vertical="center" wrapText="1"/>
      <protection locked="0"/>
    </xf>
    <xf numFmtId="3" fontId="52" fillId="6" borderId="1" xfId="0" applyNumberFormat="1" applyFont="1" applyFill="1" applyBorder="1" applyAlignment="1">
      <alignment vertical="center" wrapText="1"/>
    </xf>
    <xf numFmtId="3" fontId="52" fillId="0" borderId="4" xfId="0" applyNumberFormat="1" applyFont="1" applyBorder="1" applyAlignment="1">
      <alignment vertical="center" wrapText="1"/>
    </xf>
    <xf numFmtId="3" fontId="51" fillId="0" borderId="1" xfId="0" applyNumberFormat="1" applyFont="1" applyBorder="1" applyAlignment="1">
      <alignment vertical="center"/>
    </xf>
    <xf numFmtId="0" fontId="51" fillId="0" borderId="1" xfId="0" applyFont="1" applyBorder="1" applyAlignment="1">
      <alignment horizontal="justify" vertical="center"/>
    </xf>
    <xf numFmtId="0" fontId="52" fillId="0" borderId="1" xfId="0" applyFont="1" applyBorder="1" applyAlignment="1">
      <alignment vertical="center" wrapText="1"/>
    </xf>
    <xf numFmtId="3" fontId="52" fillId="0" borderId="1" xfId="0" applyNumberFormat="1" applyFont="1" applyBorder="1" applyAlignment="1" applyProtection="1">
      <alignment horizontal="left" vertical="center" wrapText="1"/>
      <protection locked="0"/>
    </xf>
    <xf numFmtId="3" fontId="64" fillId="0" borderId="1" xfId="0" applyNumberFormat="1" applyFont="1" applyBorder="1" applyAlignment="1">
      <alignment vertical="center" wrapText="1"/>
    </xf>
    <xf numFmtId="3" fontId="61" fillId="0" borderId="1" xfId="0" applyNumberFormat="1" applyFont="1" applyBorder="1" applyAlignment="1" applyProtection="1">
      <alignment horizontal="left" vertical="center" wrapText="1"/>
      <protection locked="0"/>
    </xf>
    <xf numFmtId="3" fontId="52" fillId="0" borderId="1" xfId="0" applyNumberFormat="1" applyFont="1" applyFill="1" applyBorder="1" applyAlignment="1" applyProtection="1">
      <alignment vertical="center" wrapText="1"/>
      <protection locked="0"/>
    </xf>
    <xf numFmtId="0" fontId="47" fillId="0" borderId="1" xfId="1467" applyFont="1" applyBorder="1" applyAlignment="1">
      <alignment horizontal="center" vertical="center" wrapText="1"/>
    </xf>
    <xf numFmtId="0" fontId="47" fillId="0" borderId="1" xfId="1467" applyFont="1" applyBorder="1" applyAlignment="1">
      <alignment horizontal="center" vertical="center"/>
    </xf>
    <xf numFmtId="3" fontId="55" fillId="5" borderId="1" xfId="0" applyNumberFormat="1" applyFont="1" applyFill="1" applyBorder="1" applyAlignment="1">
      <alignment horizontal="center" vertical="center" wrapText="1"/>
    </xf>
    <xf numFmtId="3" fontId="47" fillId="5" borderId="1" xfId="0" applyNumberFormat="1" applyFont="1" applyFill="1" applyBorder="1" applyAlignment="1">
      <alignment horizontal="center" vertical="center" wrapText="1"/>
    </xf>
    <xf numFmtId="0" fontId="47" fillId="0" borderId="1" xfId="1467" applyFont="1" applyBorder="1" applyAlignment="1">
      <alignment vertical="center" wrapText="1"/>
    </xf>
    <xf numFmtId="3" fontId="55" fillId="0" borderId="1" xfId="1467" applyNumberFormat="1" applyFont="1" applyBorder="1" applyAlignment="1" applyProtection="1">
      <alignment horizontal="center" vertical="center"/>
      <protection locked="0"/>
    </xf>
    <xf numFmtId="9" fontId="55" fillId="0" borderId="1" xfId="12" applyNumberFormat="1" applyFont="1" applyBorder="1" applyAlignment="1" applyProtection="1">
      <alignment horizontal="center" vertical="center"/>
      <protection locked="0"/>
    </xf>
    <xf numFmtId="49" fontId="47" fillId="0" borderId="1" xfId="1467" applyNumberFormat="1" applyFont="1" applyFill="1" applyBorder="1" applyAlignment="1">
      <alignment horizontal="left" vertical="center" wrapText="1"/>
    </xf>
    <xf numFmtId="9" fontId="55" fillId="0" borderId="1" xfId="12" applyFont="1" applyBorder="1" applyAlignment="1" applyProtection="1">
      <alignment horizontal="center" vertical="center"/>
      <protection locked="0"/>
    </xf>
    <xf numFmtId="49" fontId="47" fillId="0" borderId="1" xfId="1467" applyNumberFormat="1" applyFont="1" applyFill="1" applyBorder="1" applyAlignment="1" applyProtection="1">
      <alignment horizontal="left" vertical="center" wrapText="1"/>
      <protection locked="0"/>
    </xf>
    <xf numFmtId="0" fontId="46" fillId="6" borderId="1" xfId="1467" applyFont="1" applyFill="1" applyBorder="1" applyAlignment="1">
      <alignment horizontal="center" vertical="center"/>
    </xf>
    <xf numFmtId="0" fontId="46" fillId="6" borderId="1" xfId="1467" applyFont="1" applyFill="1" applyBorder="1" applyAlignment="1">
      <alignment vertical="center" wrapText="1"/>
    </xf>
    <xf numFmtId="3" fontId="67" fillId="6" borderId="1" xfId="1467" applyNumberFormat="1" applyFont="1" applyFill="1" applyBorder="1" applyAlignment="1">
      <alignment horizontal="center" vertical="center"/>
    </xf>
    <xf numFmtId="9" fontId="67" fillId="6" borderId="1" xfId="12" applyFont="1" applyFill="1" applyBorder="1" applyAlignment="1">
      <alignment horizontal="center" vertical="center"/>
    </xf>
    <xf numFmtId="49" fontId="47" fillId="6" borderId="1" xfId="1467" applyNumberFormat="1" applyFont="1" applyFill="1" applyBorder="1" applyAlignment="1">
      <alignment horizontal="left" vertical="center" wrapText="1"/>
    </xf>
    <xf numFmtId="49" fontId="46" fillId="6" borderId="1" xfId="1467" applyNumberFormat="1" applyFont="1" applyFill="1" applyBorder="1" applyAlignment="1">
      <alignment horizontal="center" vertical="center"/>
    </xf>
    <xf numFmtId="49" fontId="47" fillId="0" borderId="1" xfId="1467" applyNumberFormat="1" applyFont="1" applyBorder="1" applyAlignment="1" applyProtection="1">
      <alignment horizontal="center" vertical="center"/>
      <protection locked="0"/>
    </xf>
    <xf numFmtId="3" fontId="47" fillId="0" borderId="1" xfId="1467" applyNumberFormat="1" applyFont="1" applyFill="1" applyBorder="1" applyAlignment="1" applyProtection="1">
      <alignment horizontal="center" vertical="center"/>
      <protection locked="0"/>
    </xf>
    <xf numFmtId="49" fontId="47" fillId="0" borderId="1" xfId="1467" applyNumberFormat="1" applyFont="1" applyBorder="1" applyAlignment="1" applyProtection="1">
      <alignment horizontal="left" vertical="center" wrapText="1"/>
      <protection locked="0"/>
    </xf>
    <xf numFmtId="49" fontId="46" fillId="0" borderId="0" xfId="1467" applyNumberFormat="1" applyFont="1" applyAlignment="1">
      <alignment horizontal="center" vertical="center"/>
    </xf>
    <xf numFmtId="0" fontId="41" fillId="0" borderId="0" xfId="0" applyFont="1" applyAlignment="1">
      <alignment vertical="center" wrapText="1"/>
    </xf>
    <xf numFmtId="0" fontId="41" fillId="33" borderId="4" xfId="0" applyFont="1" applyFill="1" applyBorder="1" applyAlignment="1">
      <alignment vertical="center" wrapText="1"/>
    </xf>
    <xf numFmtId="0" fontId="41" fillId="0" borderId="4" xfId="0" applyFont="1" applyFill="1" applyBorder="1" applyAlignment="1">
      <alignment vertical="center" wrapText="1"/>
    </xf>
    <xf numFmtId="0" fontId="41" fillId="0" borderId="1" xfId="0" applyFont="1" applyBorder="1" applyAlignment="1">
      <alignment vertical="center" wrapText="1"/>
    </xf>
    <xf numFmtId="49" fontId="42" fillId="0" borderId="27" xfId="0" applyNumberFormat="1" applyFont="1" applyBorder="1" applyAlignment="1">
      <alignment horizontal="left" vertical="center"/>
    </xf>
    <xf numFmtId="49" fontId="42" fillId="0" borderId="1" xfId="0" applyNumberFormat="1" applyFont="1" applyBorder="1" applyAlignment="1" applyProtection="1">
      <alignment horizontal="left" vertical="center"/>
      <protection locked="0"/>
    </xf>
    <xf numFmtId="0" fontId="41" fillId="0" borderId="7" xfId="6" applyFont="1" applyBorder="1" applyAlignment="1">
      <alignment vertical="center" wrapText="1"/>
    </xf>
    <xf numFmtId="49" fontId="52" fillId="0" borderId="1" xfId="6" applyNumberFormat="1" applyFont="1" applyBorder="1" applyAlignment="1">
      <alignment vertical="top" wrapText="1"/>
    </xf>
    <xf numFmtId="0" fontId="41" fillId="2" borderId="7" xfId="6" applyFont="1" applyFill="1" applyBorder="1" applyAlignment="1">
      <alignment vertical="center" wrapText="1"/>
    </xf>
    <xf numFmtId="0" fontId="41" fillId="2" borderId="6" xfId="6" applyFont="1" applyFill="1" applyBorder="1" applyAlignment="1">
      <alignment vertical="center" wrapText="1"/>
    </xf>
    <xf numFmtId="0" fontId="41" fillId="0" borderId="0" xfId="6" applyFont="1" applyAlignment="1">
      <alignment vertical="center" wrapText="1"/>
    </xf>
    <xf numFmtId="49" fontId="52" fillId="0" borderId="0" xfId="6" applyNumberFormat="1" applyFont="1" applyAlignment="1">
      <alignment vertical="top" wrapText="1"/>
    </xf>
    <xf numFmtId="0" fontId="41" fillId="33" borderId="6" xfId="0" applyFont="1" applyFill="1" applyBorder="1" applyAlignment="1">
      <alignment vertical="center" wrapText="1"/>
    </xf>
    <xf numFmtId="0" fontId="41" fillId="33" borderId="1" xfId="6" applyFont="1" applyFill="1" applyBorder="1" applyAlignment="1">
      <alignment vertical="center" wrapText="1"/>
    </xf>
    <xf numFmtId="49" fontId="41" fillId="33" borderId="1" xfId="6" applyNumberFormat="1" applyFont="1" applyFill="1" applyBorder="1" applyAlignment="1">
      <alignment vertical="top" wrapText="1"/>
    </xf>
    <xf numFmtId="3" fontId="42" fillId="8" borderId="1" xfId="6" applyNumberFormat="1" applyFont="1" applyFill="1" applyBorder="1" applyAlignment="1">
      <alignment horizontal="right" vertical="center"/>
    </xf>
    <xf numFmtId="3" fontId="42" fillId="2" borderId="6" xfId="6" applyNumberFormat="1" applyFont="1" applyFill="1" applyBorder="1" applyAlignment="1">
      <alignment horizontal="right" vertical="center" wrapText="1"/>
    </xf>
    <xf numFmtId="49" fontId="47" fillId="33" borderId="1" xfId="1467" applyNumberFormat="1" applyFont="1" applyFill="1" applyBorder="1" applyAlignment="1" applyProtection="1">
      <alignment horizontal="left" vertical="top" wrapText="1"/>
      <protection locked="0"/>
    </xf>
    <xf numFmtId="49" fontId="47" fillId="33" borderId="1" xfId="1467" applyNumberFormat="1" applyFont="1" applyFill="1" applyBorder="1" applyAlignment="1" applyProtection="1">
      <alignment horizontal="left" vertical="center" wrapText="1"/>
      <protection locked="0"/>
    </xf>
    <xf numFmtId="3" fontId="52" fillId="33" borderId="4" xfId="0" applyNumberFormat="1" applyFont="1" applyFill="1" applyBorder="1" applyAlignment="1">
      <alignment vertical="center" wrapText="1"/>
    </xf>
    <xf numFmtId="3" fontId="35" fillId="33" borderId="1" xfId="0" applyNumberFormat="1" applyFont="1" applyFill="1" applyBorder="1" applyAlignment="1" applyProtection="1">
      <alignment horizontal="left" vertical="center" wrapText="1"/>
      <protection locked="0"/>
    </xf>
    <xf numFmtId="3" fontId="52" fillId="33" borderId="0" xfId="0" applyNumberFormat="1" applyFont="1" applyFill="1" applyAlignment="1">
      <alignment horizontal="left" vertical="center" wrapText="1"/>
    </xf>
    <xf numFmtId="0" fontId="52" fillId="33" borderId="1" xfId="0" applyFont="1" applyFill="1" applyBorder="1" applyAlignment="1">
      <alignment horizontal="justify" vertical="center"/>
    </xf>
    <xf numFmtId="0" fontId="52" fillId="33" borderId="1" xfId="0" applyFont="1" applyFill="1" applyBorder="1" applyAlignment="1">
      <alignment vertical="center" wrapText="1"/>
    </xf>
    <xf numFmtId="0" fontId="52" fillId="33" borderId="1" xfId="0" applyFont="1" applyFill="1" applyBorder="1" applyAlignment="1">
      <alignment horizontal="left" vertical="center" wrapText="1"/>
    </xf>
    <xf numFmtId="1" fontId="52" fillId="0" borderId="1" xfId="0" applyNumberFormat="1" applyFont="1" applyFill="1" applyBorder="1" applyAlignment="1">
      <alignment horizontal="center" vertical="center" wrapText="1"/>
    </xf>
    <xf numFmtId="1" fontId="52" fillId="0" borderId="1" xfId="0" applyNumberFormat="1" applyFont="1" applyBorder="1" applyAlignment="1">
      <alignment horizontal="center" vertical="center" wrapText="1"/>
    </xf>
    <xf numFmtId="1" fontId="52" fillId="0" borderId="0" xfId="0" applyNumberFormat="1" applyFont="1" applyAlignment="1">
      <alignment vertical="center"/>
    </xf>
    <xf numFmtId="0" fontId="52" fillId="33" borderId="4" xfId="0" applyFont="1" applyFill="1" applyBorder="1" applyAlignment="1">
      <alignment horizontal="left" vertical="center" wrapText="1"/>
    </xf>
    <xf numFmtId="0" fontId="52" fillId="33" borderId="7" xfId="0" applyFont="1" applyFill="1" applyBorder="1" applyAlignment="1">
      <alignment horizontal="left" vertical="center" wrapText="1"/>
    </xf>
    <xf numFmtId="0" fontId="52" fillId="33" borderId="6" xfId="0" applyFont="1" applyFill="1" applyBorder="1" applyAlignment="1">
      <alignment horizontal="left" vertical="center" wrapText="1"/>
    </xf>
    <xf numFmtId="3" fontId="52" fillId="33" borderId="4" xfId="0" applyNumberFormat="1" applyFont="1" applyFill="1" applyBorder="1" applyAlignment="1">
      <alignment horizontal="left" vertical="center" wrapText="1"/>
    </xf>
    <xf numFmtId="3" fontId="52" fillId="33" borderId="7" xfId="0" applyNumberFormat="1" applyFont="1" applyFill="1" applyBorder="1" applyAlignment="1">
      <alignment horizontal="left" vertical="center" wrapText="1"/>
    </xf>
    <xf numFmtId="3" fontId="52" fillId="33" borderId="6" xfId="0" applyNumberFormat="1" applyFont="1" applyFill="1" applyBorder="1" applyAlignment="1">
      <alignment horizontal="left" vertical="center" wrapText="1"/>
    </xf>
    <xf numFmtId="3" fontId="51" fillId="33" borderId="7" xfId="0" applyNumberFormat="1" applyFont="1" applyFill="1" applyBorder="1" applyAlignment="1">
      <alignment horizontal="left" vertical="center" wrapText="1"/>
    </xf>
    <xf numFmtId="3" fontId="51" fillId="33" borderId="6" xfId="0" applyNumberFormat="1" applyFont="1" applyFill="1" applyBorder="1" applyAlignment="1">
      <alignment horizontal="left" vertical="center" wrapText="1"/>
    </xf>
    <xf numFmtId="3" fontId="64" fillId="0" borderId="4" xfId="0" applyNumberFormat="1" applyFont="1" applyBorder="1" applyAlignment="1">
      <alignment horizontal="center" vertical="center" wrapText="1"/>
    </xf>
    <xf numFmtId="3" fontId="64" fillId="0" borderId="7" xfId="0" applyNumberFormat="1" applyFont="1" applyBorder="1" applyAlignment="1">
      <alignment horizontal="center" vertical="center" wrapText="1"/>
    </xf>
    <xf numFmtId="3" fontId="64" fillId="0" borderId="6" xfId="0" applyNumberFormat="1" applyFont="1" applyBorder="1" applyAlignment="1">
      <alignment horizontal="center" vertical="center" wrapText="1"/>
    </xf>
    <xf numFmtId="3" fontId="52" fillId="0" borderId="0" xfId="0" applyNumberFormat="1" applyFont="1" applyAlignment="1">
      <alignment horizontal="left" vertical="center" wrapText="1"/>
    </xf>
    <xf numFmtId="49" fontId="52" fillId="33" borderId="4" xfId="6" applyNumberFormat="1" applyFont="1" applyFill="1" applyBorder="1" applyAlignment="1">
      <alignment horizontal="left" vertical="center" wrapText="1"/>
    </xf>
    <xf numFmtId="49" fontId="52" fillId="33" borderId="7" xfId="6" applyNumberFormat="1" applyFont="1" applyFill="1" applyBorder="1" applyAlignment="1">
      <alignment horizontal="left" vertical="center" wrapText="1"/>
    </xf>
    <xf numFmtId="49" fontId="52" fillId="33" borderId="6" xfId="6" applyNumberFormat="1" applyFont="1" applyFill="1" applyBorder="1" applyAlignment="1">
      <alignment horizontal="left" vertical="center" wrapText="1"/>
    </xf>
    <xf numFmtId="3" fontId="52" fillId="0" borderId="4" xfId="0" applyNumberFormat="1" applyFont="1" applyFill="1" applyBorder="1" applyAlignment="1">
      <alignment horizontal="left" vertical="center" wrapText="1"/>
    </xf>
    <xf numFmtId="3" fontId="52" fillId="0" borderId="7" xfId="0" applyNumberFormat="1" applyFont="1" applyFill="1" applyBorder="1" applyAlignment="1">
      <alignment horizontal="left" vertical="center" wrapText="1"/>
    </xf>
    <xf numFmtId="3" fontId="52" fillId="0" borderId="6" xfId="0" applyNumberFormat="1" applyFont="1" applyFill="1" applyBorder="1" applyAlignment="1">
      <alignment horizontal="left" vertical="center" wrapText="1"/>
    </xf>
    <xf numFmtId="3" fontId="52" fillId="33" borderId="4" xfId="0" applyNumberFormat="1" applyFont="1" applyFill="1" applyBorder="1" applyAlignment="1">
      <alignment vertical="center" wrapText="1"/>
    </xf>
    <xf numFmtId="3" fontId="52" fillId="33" borderId="7" xfId="0" applyNumberFormat="1" applyFont="1" applyFill="1" applyBorder="1" applyAlignment="1">
      <alignment vertical="center" wrapText="1"/>
    </xf>
    <xf numFmtId="3" fontId="52" fillId="33" borderId="6" xfId="0" applyNumberFormat="1" applyFont="1" applyFill="1" applyBorder="1" applyAlignment="1">
      <alignment vertical="center" wrapText="1"/>
    </xf>
    <xf numFmtId="3" fontId="64" fillId="33" borderId="7" xfId="0" applyNumberFormat="1" applyFont="1" applyFill="1" applyBorder="1" applyAlignment="1">
      <alignment horizontal="left" vertical="center" wrapText="1"/>
    </xf>
    <xf numFmtId="3" fontId="64" fillId="33" borderId="6" xfId="0" applyNumberFormat="1" applyFont="1" applyFill="1" applyBorder="1" applyAlignment="1">
      <alignment horizontal="left" vertical="center" wrapText="1"/>
    </xf>
    <xf numFmtId="3" fontId="52" fillId="33" borderId="1" xfId="0" applyNumberFormat="1" applyFont="1" applyFill="1" applyBorder="1" applyAlignment="1">
      <alignment horizontal="left" vertical="center" wrapText="1"/>
    </xf>
    <xf numFmtId="0" fontId="47" fillId="0" borderId="0" xfId="1467" applyFont="1" applyAlignment="1">
      <alignment horizontal="left" vertical="center" wrapText="1"/>
    </xf>
    <xf numFmtId="49" fontId="47" fillId="33" borderId="4" xfId="1467" applyNumberFormat="1" applyFont="1" applyFill="1" applyBorder="1" applyAlignment="1" applyProtection="1">
      <alignment horizontal="left" vertical="center" wrapText="1"/>
      <protection locked="0"/>
    </xf>
    <xf numFmtId="49" fontId="47" fillId="33" borderId="7" xfId="1467" applyNumberFormat="1" applyFont="1" applyFill="1" applyBorder="1" applyAlignment="1" applyProtection="1">
      <alignment horizontal="left" vertical="center" wrapText="1"/>
      <protection locked="0"/>
    </xf>
    <xf numFmtId="49" fontId="47" fillId="33" borderId="6" xfId="1467" applyNumberFormat="1" applyFont="1" applyFill="1" applyBorder="1" applyAlignment="1" applyProtection="1">
      <alignment horizontal="left" vertical="center" wrapText="1"/>
      <protection locked="0"/>
    </xf>
    <xf numFmtId="49" fontId="69" fillId="0" borderId="4" xfId="1" applyNumberFormat="1" applyFont="1" applyBorder="1" applyAlignment="1">
      <alignment horizontal="left" vertical="center" wrapText="1"/>
    </xf>
    <xf numFmtId="49" fontId="69" fillId="0" borderId="7" xfId="1" applyNumberFormat="1" applyFont="1" applyBorder="1" applyAlignment="1">
      <alignment horizontal="left" vertical="center" wrapText="1"/>
    </xf>
    <xf numFmtId="49" fontId="69" fillId="0" borderId="6" xfId="1" applyNumberFormat="1" applyFont="1" applyBorder="1" applyAlignment="1">
      <alignment horizontal="left" vertical="center" wrapText="1"/>
    </xf>
    <xf numFmtId="49" fontId="41" fillId="33" borderId="4" xfId="1" applyNumberFormat="1" applyFont="1" applyFill="1" applyBorder="1" applyAlignment="1">
      <alignment horizontal="left" vertical="center" wrapText="1"/>
    </xf>
    <xf numFmtId="49" fontId="41" fillId="33" borderId="7" xfId="1" applyNumberFormat="1" applyFont="1" applyFill="1" applyBorder="1" applyAlignment="1">
      <alignment horizontal="left" vertical="center" wrapText="1"/>
    </xf>
    <xf numFmtId="49" fontId="41" fillId="33" borderId="6" xfId="1" applyNumberFormat="1" applyFont="1" applyFill="1" applyBorder="1" applyAlignment="1">
      <alignment horizontal="left" vertical="center" wrapText="1"/>
    </xf>
    <xf numFmtId="0" fontId="42" fillId="3" borderId="5" xfId="1" applyFont="1" applyFill="1" applyBorder="1" applyAlignment="1" applyProtection="1">
      <alignment horizontal="center" vertical="center"/>
      <protection locked="0"/>
    </xf>
    <xf numFmtId="0" fontId="42" fillId="3" borderId="13" xfId="1" applyFont="1" applyFill="1" applyBorder="1" applyAlignment="1" applyProtection="1">
      <alignment horizontal="center" vertical="center"/>
      <protection locked="0"/>
    </xf>
    <xf numFmtId="49" fontId="69" fillId="0" borderId="4" xfId="1" applyNumberFormat="1" applyFont="1" applyBorder="1" applyAlignment="1">
      <alignment horizontal="center" vertical="center"/>
    </xf>
    <xf numFmtId="49" fontId="69" fillId="0" borderId="7" xfId="1" applyNumberFormat="1" applyFont="1" applyBorder="1" applyAlignment="1">
      <alignment horizontal="center" vertical="center"/>
    </xf>
    <xf numFmtId="49" fontId="69" fillId="0" borderId="6" xfId="1" applyNumberFormat="1" applyFont="1" applyBorder="1" applyAlignment="1">
      <alignment horizontal="center" vertical="center"/>
    </xf>
    <xf numFmtId="0" fontId="41" fillId="3" borderId="5" xfId="1" applyFont="1" applyFill="1" applyBorder="1" applyAlignment="1" applyProtection="1">
      <alignment horizontal="center" vertical="center"/>
      <protection locked="0"/>
    </xf>
    <xf numFmtId="0" fontId="41" fillId="3" borderId="13" xfId="1" applyFont="1" applyFill="1" applyBorder="1" applyAlignment="1" applyProtection="1">
      <alignment horizontal="center" vertical="center"/>
      <protection locked="0"/>
    </xf>
    <xf numFmtId="49" fontId="41" fillId="33" borderId="29" xfId="6" applyNumberFormat="1" applyFont="1" applyFill="1" applyBorder="1" applyAlignment="1">
      <alignment horizontal="left" vertical="center" wrapText="1"/>
    </xf>
    <xf numFmtId="49" fontId="41" fillId="33" borderId="12" xfId="6" applyNumberFormat="1" applyFont="1" applyFill="1" applyBorder="1" applyAlignment="1">
      <alignment horizontal="left" vertical="center" wrapText="1"/>
    </xf>
    <xf numFmtId="49" fontId="41" fillId="33" borderId="37" xfId="6" applyNumberFormat="1" applyFont="1" applyFill="1" applyBorder="1" applyAlignment="1">
      <alignment horizontal="left" vertical="center" wrapText="1"/>
    </xf>
    <xf numFmtId="16" fontId="42" fillId="3" borderId="13" xfId="6" applyNumberFormat="1" applyFont="1" applyFill="1" applyBorder="1" applyAlignment="1">
      <alignment horizontal="left" vertical="center" wrapText="1"/>
    </xf>
    <xf numFmtId="0" fontId="41" fillId="0" borderId="0" xfId="0" applyFont="1" applyAlignment="1">
      <alignment horizontal="left" vertical="center" wrapText="1"/>
    </xf>
    <xf numFmtId="49" fontId="41" fillId="33" borderId="4" xfId="0" applyNumberFormat="1" applyFont="1" applyFill="1" applyBorder="1" applyAlignment="1">
      <alignment horizontal="left" vertical="center" wrapText="1"/>
    </xf>
    <xf numFmtId="49" fontId="42" fillId="33" borderId="7" xfId="0" applyNumberFormat="1" applyFont="1" applyFill="1" applyBorder="1" applyAlignment="1">
      <alignment horizontal="left" vertical="center" wrapText="1"/>
    </xf>
    <xf numFmtId="49" fontId="42" fillId="33" borderId="6" xfId="0" applyNumberFormat="1" applyFont="1" applyFill="1" applyBorder="1" applyAlignment="1">
      <alignment horizontal="left" vertical="center" wrapText="1"/>
    </xf>
    <xf numFmtId="0" fontId="41" fillId="33" borderId="1" xfId="6" applyFont="1" applyFill="1" applyBorder="1" applyAlignment="1">
      <alignment horizontal="left" vertical="center" wrapText="1"/>
    </xf>
    <xf numFmtId="49" fontId="42" fillId="0" borderId="4" xfId="6" applyNumberFormat="1" applyFont="1" applyBorder="1" applyAlignment="1">
      <alignment horizontal="center" vertical="center" wrapText="1"/>
    </xf>
    <xf numFmtId="49" fontId="42" fillId="0" borderId="7" xfId="6" applyNumberFormat="1" applyFont="1" applyBorder="1" applyAlignment="1">
      <alignment horizontal="center" vertical="center" wrapText="1"/>
    </xf>
    <xf numFmtId="49" fontId="42" fillId="0" borderId="6" xfId="6" applyNumberFormat="1" applyFont="1" applyBorder="1" applyAlignment="1">
      <alignment horizontal="center" vertical="center" wrapText="1"/>
    </xf>
    <xf numFmtId="49" fontId="42" fillId="0" borderId="4" xfId="6" applyNumberFormat="1" applyFont="1" applyBorder="1" applyAlignment="1">
      <alignment horizontal="center" vertical="center"/>
    </xf>
    <xf numFmtId="49" fontId="42" fillId="0" borderId="7" xfId="6" applyNumberFormat="1" applyFont="1" applyBorder="1" applyAlignment="1">
      <alignment horizontal="center" vertical="center"/>
    </xf>
    <xf numFmtId="49" fontId="42" fillId="0" borderId="6" xfId="6" applyNumberFormat="1" applyFont="1" applyBorder="1" applyAlignment="1">
      <alignment horizontal="center" vertical="center"/>
    </xf>
    <xf numFmtId="49" fontId="41" fillId="0" borderId="4" xfId="6" applyNumberFormat="1" applyFont="1" applyFill="1" applyBorder="1" applyAlignment="1">
      <alignment vertical="center" wrapText="1"/>
    </xf>
    <xf numFmtId="49" fontId="41" fillId="0" borderId="7" xfId="6" applyNumberFormat="1" applyFont="1" applyFill="1" applyBorder="1" applyAlignment="1">
      <alignment vertical="center" wrapText="1"/>
    </xf>
    <xf numFmtId="49" fontId="41" fillId="0" borderId="6" xfId="6" applyNumberFormat="1" applyFont="1" applyFill="1" applyBorder="1" applyAlignment="1">
      <alignment vertical="center" wrapText="1"/>
    </xf>
    <xf numFmtId="49" fontId="41" fillId="33" borderId="4" xfId="6" applyNumberFormat="1" applyFont="1" applyFill="1" applyBorder="1" applyAlignment="1">
      <alignment vertical="center" wrapText="1"/>
    </xf>
    <xf numFmtId="49" fontId="41" fillId="33" borderId="7" xfId="6" applyNumberFormat="1" applyFont="1" applyFill="1" applyBorder="1" applyAlignment="1">
      <alignment vertical="center" wrapText="1"/>
    </xf>
    <xf numFmtId="49" fontId="41" fillId="33" borderId="6" xfId="6" applyNumberFormat="1" applyFont="1" applyFill="1" applyBorder="1" applyAlignment="1">
      <alignment vertical="center" wrapText="1"/>
    </xf>
    <xf numFmtId="49" fontId="41" fillId="33" borderId="4" xfId="6" applyNumberFormat="1" applyFont="1" applyFill="1" applyBorder="1" applyAlignment="1">
      <alignment horizontal="left" vertical="center" wrapText="1"/>
    </xf>
    <xf numFmtId="49" fontId="41" fillId="33" borderId="7" xfId="6" applyNumberFormat="1" applyFont="1" applyFill="1" applyBorder="1" applyAlignment="1">
      <alignment horizontal="left" vertical="center" wrapText="1"/>
    </xf>
    <xf numFmtId="49" fontId="41" fillId="33" borderId="6" xfId="6" applyNumberFormat="1" applyFont="1" applyFill="1" applyBorder="1" applyAlignment="1">
      <alignment horizontal="left" vertical="center" wrapText="1"/>
    </xf>
    <xf numFmtId="3" fontId="41" fillId="33" borderId="4" xfId="0" applyNumberFormat="1" applyFont="1" applyFill="1" applyBorder="1" applyAlignment="1">
      <alignment horizontal="left" vertical="center" wrapText="1"/>
    </xf>
    <xf numFmtId="3" fontId="44" fillId="33" borderId="7" xfId="0" applyNumberFormat="1" applyFont="1" applyFill="1" applyBorder="1" applyAlignment="1">
      <alignment horizontal="left" vertical="center" wrapText="1"/>
    </xf>
    <xf numFmtId="3" fontId="44" fillId="33" borderId="6" xfId="0" applyNumberFormat="1" applyFont="1" applyFill="1" applyBorder="1" applyAlignment="1">
      <alignment horizontal="left" vertical="center" wrapText="1"/>
    </xf>
    <xf numFmtId="0" fontId="41" fillId="33" borderId="29"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37" xfId="0" applyFont="1" applyFill="1" applyBorder="1" applyAlignment="1" applyProtection="1">
      <alignment horizontal="left" vertical="center" wrapText="1"/>
      <protection locked="0"/>
    </xf>
    <xf numFmtId="0" fontId="41" fillId="33" borderId="4" xfId="6" applyFont="1" applyFill="1" applyBorder="1" applyAlignment="1">
      <alignment horizontal="left" vertical="center" wrapText="1"/>
    </xf>
    <xf numFmtId="0" fontId="41" fillId="33" borderId="7" xfId="6" applyFont="1" applyFill="1" applyBorder="1" applyAlignment="1">
      <alignment horizontal="left" vertical="center" wrapText="1"/>
    </xf>
    <xf numFmtId="0" fontId="41" fillId="33" borderId="6" xfId="6" applyFont="1" applyFill="1" applyBorder="1" applyAlignment="1">
      <alignment horizontal="left" vertical="center" wrapText="1"/>
    </xf>
    <xf numFmtId="0" fontId="41" fillId="0" borderId="0" xfId="0" applyFont="1" applyAlignment="1" applyProtection="1">
      <alignment horizontal="left" vertical="center" wrapText="1"/>
    </xf>
    <xf numFmtId="0" fontId="41" fillId="0" borderId="12" xfId="6" applyFont="1" applyBorder="1" applyAlignment="1">
      <alignment horizontal="left" vertical="center" wrapText="1"/>
    </xf>
    <xf numFmtId="0" fontId="41" fillId="0" borderId="0" xfId="6" applyFont="1" applyAlignment="1">
      <alignment horizontal="left" vertical="center" wrapText="1"/>
    </xf>
    <xf numFmtId="0" fontId="41" fillId="0" borderId="12" xfId="6" applyFont="1" applyBorder="1" applyAlignment="1">
      <alignment horizontal="left" vertical="center"/>
    </xf>
    <xf numFmtId="0" fontId="41" fillId="0" borderId="0" xfId="6" applyFont="1" applyAlignment="1">
      <alignment horizontal="left" vertical="center"/>
    </xf>
    <xf numFmtId="0" fontId="41" fillId="0" borderId="31" xfId="6" applyFont="1" applyBorder="1" applyAlignment="1">
      <alignment horizontal="left" vertical="center" wrapText="1"/>
    </xf>
    <xf numFmtId="0" fontId="47" fillId="33" borderId="4" xfId="6" applyFont="1" applyFill="1" applyBorder="1" applyAlignment="1">
      <alignment horizontal="left" vertical="center" wrapText="1"/>
    </xf>
    <xf numFmtId="0" fontId="47" fillId="33" borderId="7" xfId="6" applyFont="1" applyFill="1" applyBorder="1" applyAlignment="1">
      <alignment horizontal="left" vertical="center" wrapText="1"/>
    </xf>
    <xf numFmtId="0" fontId="47" fillId="33" borderId="6" xfId="6" applyFont="1" applyFill="1" applyBorder="1" applyAlignment="1">
      <alignment horizontal="left" vertical="center" wrapText="1"/>
    </xf>
  </cellXfs>
  <cellStyles count="1468">
    <cellStyle name="_ieguld.plāns" xfId="13" xr:uid="{00000000-0005-0000-0000-000000000000}"/>
    <cellStyle name="20% - Accent1 10" xfId="14" xr:uid="{00000000-0005-0000-0000-000001000000}"/>
    <cellStyle name="20% - Accent1 10 2" xfId="15" xr:uid="{00000000-0005-0000-0000-000002000000}"/>
    <cellStyle name="20% - Accent1 10 2 2" xfId="16" xr:uid="{00000000-0005-0000-0000-000003000000}"/>
    <cellStyle name="20% - Accent1 10 3" xfId="17" xr:uid="{00000000-0005-0000-0000-000004000000}"/>
    <cellStyle name="20% - Accent1 11" xfId="18" xr:uid="{00000000-0005-0000-0000-000005000000}"/>
    <cellStyle name="20% - Accent1 11 2" xfId="19" xr:uid="{00000000-0005-0000-0000-000006000000}"/>
    <cellStyle name="20% - Accent1 11 2 2" xfId="20" xr:uid="{00000000-0005-0000-0000-000007000000}"/>
    <cellStyle name="20% - Accent1 11 3" xfId="21" xr:uid="{00000000-0005-0000-0000-000008000000}"/>
    <cellStyle name="20% - Accent1 12" xfId="22" xr:uid="{00000000-0005-0000-0000-000009000000}"/>
    <cellStyle name="20% - Accent1 12 2" xfId="23" xr:uid="{00000000-0005-0000-0000-00000A000000}"/>
    <cellStyle name="20% - Accent1 12 2 2" xfId="24" xr:uid="{00000000-0005-0000-0000-00000B000000}"/>
    <cellStyle name="20% - Accent1 12 3" xfId="25" xr:uid="{00000000-0005-0000-0000-00000C000000}"/>
    <cellStyle name="20% - Accent1 13" xfId="26" xr:uid="{00000000-0005-0000-0000-00000D000000}"/>
    <cellStyle name="20% - Accent1 13 2" xfId="27" xr:uid="{00000000-0005-0000-0000-00000E000000}"/>
    <cellStyle name="20% - Accent1 13 2 2" xfId="28" xr:uid="{00000000-0005-0000-0000-00000F000000}"/>
    <cellStyle name="20% - Accent1 13 3" xfId="29" xr:uid="{00000000-0005-0000-0000-000010000000}"/>
    <cellStyle name="20% - Accent1 14" xfId="30" xr:uid="{00000000-0005-0000-0000-000011000000}"/>
    <cellStyle name="20% - Accent1 14 2" xfId="31" xr:uid="{00000000-0005-0000-0000-000012000000}"/>
    <cellStyle name="20% - Accent1 14 2 2" xfId="32" xr:uid="{00000000-0005-0000-0000-000013000000}"/>
    <cellStyle name="20% - Accent1 14 3" xfId="33" xr:uid="{00000000-0005-0000-0000-000014000000}"/>
    <cellStyle name="20% - Accent1 15" xfId="34" xr:uid="{00000000-0005-0000-0000-000015000000}"/>
    <cellStyle name="20% - Accent1 15 2" xfId="35" xr:uid="{00000000-0005-0000-0000-000016000000}"/>
    <cellStyle name="20% - Accent1 15 2 2" xfId="36" xr:uid="{00000000-0005-0000-0000-000017000000}"/>
    <cellStyle name="20% - Accent1 15 3" xfId="37" xr:uid="{00000000-0005-0000-0000-000018000000}"/>
    <cellStyle name="20% - Accent1 16" xfId="38" xr:uid="{00000000-0005-0000-0000-000019000000}"/>
    <cellStyle name="20% - Accent1 2" xfId="39" xr:uid="{00000000-0005-0000-0000-00001A000000}"/>
    <cellStyle name="20% - Accent1 2 2" xfId="40" xr:uid="{00000000-0005-0000-0000-00001B000000}"/>
    <cellStyle name="20% - Accent1 2 2 2" xfId="41" xr:uid="{00000000-0005-0000-0000-00001C000000}"/>
    <cellStyle name="20% - Accent1 2 3" xfId="42" xr:uid="{00000000-0005-0000-0000-00001D000000}"/>
    <cellStyle name="20% - Accent1 3" xfId="43" xr:uid="{00000000-0005-0000-0000-00001E000000}"/>
    <cellStyle name="20% - Accent1 3 2" xfId="44" xr:uid="{00000000-0005-0000-0000-00001F000000}"/>
    <cellStyle name="20% - Accent1 3 2 2" xfId="45" xr:uid="{00000000-0005-0000-0000-000020000000}"/>
    <cellStyle name="20% - Accent1 3 3" xfId="46" xr:uid="{00000000-0005-0000-0000-000021000000}"/>
    <cellStyle name="20% - Accent1 4" xfId="47" xr:uid="{00000000-0005-0000-0000-000022000000}"/>
    <cellStyle name="20% - Accent1 4 2" xfId="48" xr:uid="{00000000-0005-0000-0000-000023000000}"/>
    <cellStyle name="20% - Accent1 4 2 2" xfId="49" xr:uid="{00000000-0005-0000-0000-000024000000}"/>
    <cellStyle name="20% - Accent1 4 3" xfId="50" xr:uid="{00000000-0005-0000-0000-000025000000}"/>
    <cellStyle name="20% - Accent1 5" xfId="51" xr:uid="{00000000-0005-0000-0000-000026000000}"/>
    <cellStyle name="20% - Accent1 5 2" xfId="52" xr:uid="{00000000-0005-0000-0000-000027000000}"/>
    <cellStyle name="20% - Accent1 5 2 2" xfId="53" xr:uid="{00000000-0005-0000-0000-000028000000}"/>
    <cellStyle name="20% - Accent1 5 3" xfId="54" xr:uid="{00000000-0005-0000-0000-000029000000}"/>
    <cellStyle name="20% - Accent1 6" xfId="55" xr:uid="{00000000-0005-0000-0000-00002A000000}"/>
    <cellStyle name="20% - Accent1 6 2" xfId="56" xr:uid="{00000000-0005-0000-0000-00002B000000}"/>
    <cellStyle name="20% - Accent1 6 2 2" xfId="57" xr:uid="{00000000-0005-0000-0000-00002C000000}"/>
    <cellStyle name="20% - Accent1 6 3" xfId="58" xr:uid="{00000000-0005-0000-0000-00002D000000}"/>
    <cellStyle name="20% - Accent1 7" xfId="59" xr:uid="{00000000-0005-0000-0000-00002E000000}"/>
    <cellStyle name="20% - Accent1 7 2" xfId="60" xr:uid="{00000000-0005-0000-0000-00002F000000}"/>
    <cellStyle name="20% - Accent1 7 2 2" xfId="61" xr:uid="{00000000-0005-0000-0000-000030000000}"/>
    <cellStyle name="20% - Accent1 7 3" xfId="62" xr:uid="{00000000-0005-0000-0000-000031000000}"/>
    <cellStyle name="20% - Accent1 8" xfId="63" xr:uid="{00000000-0005-0000-0000-000032000000}"/>
    <cellStyle name="20% - Accent1 8 2" xfId="64" xr:uid="{00000000-0005-0000-0000-000033000000}"/>
    <cellStyle name="20% - Accent1 8 2 2" xfId="65" xr:uid="{00000000-0005-0000-0000-000034000000}"/>
    <cellStyle name="20% - Accent1 8 3" xfId="66" xr:uid="{00000000-0005-0000-0000-000035000000}"/>
    <cellStyle name="20% - Accent1 9" xfId="67" xr:uid="{00000000-0005-0000-0000-000036000000}"/>
    <cellStyle name="20% - Accent1 9 2" xfId="68" xr:uid="{00000000-0005-0000-0000-000037000000}"/>
    <cellStyle name="20% - Accent1 9 2 2" xfId="69" xr:uid="{00000000-0005-0000-0000-000038000000}"/>
    <cellStyle name="20% - Accent1 9 3" xfId="70" xr:uid="{00000000-0005-0000-0000-000039000000}"/>
    <cellStyle name="20% - Accent2 10" xfId="71" xr:uid="{00000000-0005-0000-0000-00003A000000}"/>
    <cellStyle name="20% - Accent2 10 2" xfId="72" xr:uid="{00000000-0005-0000-0000-00003B000000}"/>
    <cellStyle name="20% - Accent2 10 2 2" xfId="73" xr:uid="{00000000-0005-0000-0000-00003C000000}"/>
    <cellStyle name="20% - Accent2 10 3" xfId="74" xr:uid="{00000000-0005-0000-0000-00003D000000}"/>
    <cellStyle name="20% - Accent2 11" xfId="75" xr:uid="{00000000-0005-0000-0000-00003E000000}"/>
    <cellStyle name="20% - Accent2 11 2" xfId="76" xr:uid="{00000000-0005-0000-0000-00003F000000}"/>
    <cellStyle name="20% - Accent2 11 2 2" xfId="77" xr:uid="{00000000-0005-0000-0000-000040000000}"/>
    <cellStyle name="20% - Accent2 11 3" xfId="78" xr:uid="{00000000-0005-0000-0000-000041000000}"/>
    <cellStyle name="20% - Accent2 12" xfId="79" xr:uid="{00000000-0005-0000-0000-000042000000}"/>
    <cellStyle name="20% - Accent2 12 2" xfId="80" xr:uid="{00000000-0005-0000-0000-000043000000}"/>
    <cellStyle name="20% - Accent2 12 2 2" xfId="81" xr:uid="{00000000-0005-0000-0000-000044000000}"/>
    <cellStyle name="20% - Accent2 12 3" xfId="82" xr:uid="{00000000-0005-0000-0000-000045000000}"/>
    <cellStyle name="20% - Accent2 13" xfId="83" xr:uid="{00000000-0005-0000-0000-000046000000}"/>
    <cellStyle name="20% - Accent2 13 2" xfId="84" xr:uid="{00000000-0005-0000-0000-000047000000}"/>
    <cellStyle name="20% - Accent2 13 2 2" xfId="85" xr:uid="{00000000-0005-0000-0000-000048000000}"/>
    <cellStyle name="20% - Accent2 13 3" xfId="86" xr:uid="{00000000-0005-0000-0000-000049000000}"/>
    <cellStyle name="20% - Accent2 14" xfId="87" xr:uid="{00000000-0005-0000-0000-00004A000000}"/>
    <cellStyle name="20% - Accent2 14 2" xfId="88" xr:uid="{00000000-0005-0000-0000-00004B000000}"/>
    <cellStyle name="20% - Accent2 14 2 2" xfId="89" xr:uid="{00000000-0005-0000-0000-00004C000000}"/>
    <cellStyle name="20% - Accent2 14 3" xfId="90" xr:uid="{00000000-0005-0000-0000-00004D000000}"/>
    <cellStyle name="20% - Accent2 15" xfId="91" xr:uid="{00000000-0005-0000-0000-00004E000000}"/>
    <cellStyle name="20% - Accent2 15 2" xfId="92" xr:uid="{00000000-0005-0000-0000-00004F000000}"/>
    <cellStyle name="20% - Accent2 15 2 2" xfId="93" xr:uid="{00000000-0005-0000-0000-000050000000}"/>
    <cellStyle name="20% - Accent2 15 3" xfId="94" xr:uid="{00000000-0005-0000-0000-000051000000}"/>
    <cellStyle name="20% - Accent2 16" xfId="95" xr:uid="{00000000-0005-0000-0000-000052000000}"/>
    <cellStyle name="20% - Accent2 2" xfId="96" xr:uid="{00000000-0005-0000-0000-000053000000}"/>
    <cellStyle name="20% - Accent2 2 2" xfId="97" xr:uid="{00000000-0005-0000-0000-000054000000}"/>
    <cellStyle name="20% - Accent2 2 2 2" xfId="98" xr:uid="{00000000-0005-0000-0000-000055000000}"/>
    <cellStyle name="20% - Accent2 2 3" xfId="99" xr:uid="{00000000-0005-0000-0000-000056000000}"/>
    <cellStyle name="20% - Accent2 3" xfId="100" xr:uid="{00000000-0005-0000-0000-000057000000}"/>
    <cellStyle name="20% - Accent2 3 2" xfId="101" xr:uid="{00000000-0005-0000-0000-000058000000}"/>
    <cellStyle name="20% - Accent2 3 2 2" xfId="102" xr:uid="{00000000-0005-0000-0000-000059000000}"/>
    <cellStyle name="20% - Accent2 3 3" xfId="103" xr:uid="{00000000-0005-0000-0000-00005A000000}"/>
    <cellStyle name="20% - Accent2 4" xfId="104" xr:uid="{00000000-0005-0000-0000-00005B000000}"/>
    <cellStyle name="20% - Accent2 4 2" xfId="105" xr:uid="{00000000-0005-0000-0000-00005C000000}"/>
    <cellStyle name="20% - Accent2 4 2 2" xfId="106" xr:uid="{00000000-0005-0000-0000-00005D000000}"/>
    <cellStyle name="20% - Accent2 4 3" xfId="107" xr:uid="{00000000-0005-0000-0000-00005E000000}"/>
    <cellStyle name="20% - Accent2 5" xfId="108" xr:uid="{00000000-0005-0000-0000-00005F000000}"/>
    <cellStyle name="20% - Accent2 5 2" xfId="109" xr:uid="{00000000-0005-0000-0000-000060000000}"/>
    <cellStyle name="20% - Accent2 5 2 2" xfId="110" xr:uid="{00000000-0005-0000-0000-000061000000}"/>
    <cellStyle name="20% - Accent2 5 3" xfId="111" xr:uid="{00000000-0005-0000-0000-000062000000}"/>
    <cellStyle name="20% - Accent2 6" xfId="112" xr:uid="{00000000-0005-0000-0000-000063000000}"/>
    <cellStyle name="20% - Accent2 6 2" xfId="113" xr:uid="{00000000-0005-0000-0000-000064000000}"/>
    <cellStyle name="20% - Accent2 6 2 2" xfId="114" xr:uid="{00000000-0005-0000-0000-000065000000}"/>
    <cellStyle name="20% - Accent2 6 3" xfId="115" xr:uid="{00000000-0005-0000-0000-000066000000}"/>
    <cellStyle name="20% - Accent2 7" xfId="116" xr:uid="{00000000-0005-0000-0000-000067000000}"/>
    <cellStyle name="20% - Accent2 7 2" xfId="117" xr:uid="{00000000-0005-0000-0000-000068000000}"/>
    <cellStyle name="20% - Accent2 7 2 2" xfId="118" xr:uid="{00000000-0005-0000-0000-000069000000}"/>
    <cellStyle name="20% - Accent2 7 3" xfId="119" xr:uid="{00000000-0005-0000-0000-00006A000000}"/>
    <cellStyle name="20% - Accent2 8" xfId="120" xr:uid="{00000000-0005-0000-0000-00006B000000}"/>
    <cellStyle name="20% - Accent2 8 2" xfId="121" xr:uid="{00000000-0005-0000-0000-00006C000000}"/>
    <cellStyle name="20% - Accent2 8 2 2" xfId="122" xr:uid="{00000000-0005-0000-0000-00006D000000}"/>
    <cellStyle name="20% - Accent2 8 3" xfId="123" xr:uid="{00000000-0005-0000-0000-00006E000000}"/>
    <cellStyle name="20% - Accent2 9" xfId="124" xr:uid="{00000000-0005-0000-0000-00006F000000}"/>
    <cellStyle name="20% - Accent2 9 2" xfId="125" xr:uid="{00000000-0005-0000-0000-000070000000}"/>
    <cellStyle name="20% - Accent2 9 2 2" xfId="126" xr:uid="{00000000-0005-0000-0000-000071000000}"/>
    <cellStyle name="20% - Accent2 9 3" xfId="127" xr:uid="{00000000-0005-0000-0000-000072000000}"/>
    <cellStyle name="20% - Accent3 10" xfId="128" xr:uid="{00000000-0005-0000-0000-000073000000}"/>
    <cellStyle name="20% - Accent3 10 2" xfId="129" xr:uid="{00000000-0005-0000-0000-000074000000}"/>
    <cellStyle name="20% - Accent3 10 2 2" xfId="130" xr:uid="{00000000-0005-0000-0000-000075000000}"/>
    <cellStyle name="20% - Accent3 10 3" xfId="131" xr:uid="{00000000-0005-0000-0000-000076000000}"/>
    <cellStyle name="20% - Accent3 11" xfId="132" xr:uid="{00000000-0005-0000-0000-000077000000}"/>
    <cellStyle name="20% - Accent3 11 2" xfId="133" xr:uid="{00000000-0005-0000-0000-000078000000}"/>
    <cellStyle name="20% - Accent3 11 2 2" xfId="134" xr:uid="{00000000-0005-0000-0000-000079000000}"/>
    <cellStyle name="20% - Accent3 11 3" xfId="135" xr:uid="{00000000-0005-0000-0000-00007A000000}"/>
    <cellStyle name="20% - Accent3 12" xfId="136" xr:uid="{00000000-0005-0000-0000-00007B000000}"/>
    <cellStyle name="20% - Accent3 12 2" xfId="137" xr:uid="{00000000-0005-0000-0000-00007C000000}"/>
    <cellStyle name="20% - Accent3 12 2 2" xfId="138" xr:uid="{00000000-0005-0000-0000-00007D000000}"/>
    <cellStyle name="20% - Accent3 12 3" xfId="139" xr:uid="{00000000-0005-0000-0000-00007E000000}"/>
    <cellStyle name="20% - Accent3 13" xfId="140" xr:uid="{00000000-0005-0000-0000-00007F000000}"/>
    <cellStyle name="20% - Accent3 13 2" xfId="141" xr:uid="{00000000-0005-0000-0000-000080000000}"/>
    <cellStyle name="20% - Accent3 13 2 2" xfId="142" xr:uid="{00000000-0005-0000-0000-000081000000}"/>
    <cellStyle name="20% - Accent3 13 3" xfId="143" xr:uid="{00000000-0005-0000-0000-000082000000}"/>
    <cellStyle name="20% - Accent3 14" xfId="144" xr:uid="{00000000-0005-0000-0000-000083000000}"/>
    <cellStyle name="20% - Accent3 14 2" xfId="145" xr:uid="{00000000-0005-0000-0000-000084000000}"/>
    <cellStyle name="20% - Accent3 14 2 2" xfId="146" xr:uid="{00000000-0005-0000-0000-000085000000}"/>
    <cellStyle name="20% - Accent3 14 3" xfId="147" xr:uid="{00000000-0005-0000-0000-000086000000}"/>
    <cellStyle name="20% - Accent3 15" xfId="148" xr:uid="{00000000-0005-0000-0000-000087000000}"/>
    <cellStyle name="20% - Accent3 15 2" xfId="149" xr:uid="{00000000-0005-0000-0000-000088000000}"/>
    <cellStyle name="20% - Accent3 15 2 2" xfId="150" xr:uid="{00000000-0005-0000-0000-000089000000}"/>
    <cellStyle name="20% - Accent3 15 3" xfId="151" xr:uid="{00000000-0005-0000-0000-00008A000000}"/>
    <cellStyle name="20% - Accent3 16" xfId="152" xr:uid="{00000000-0005-0000-0000-00008B000000}"/>
    <cellStyle name="20% - Accent3 2" xfId="153" xr:uid="{00000000-0005-0000-0000-00008C000000}"/>
    <cellStyle name="20% - Accent3 2 2" xfId="154" xr:uid="{00000000-0005-0000-0000-00008D000000}"/>
    <cellStyle name="20% - Accent3 2 2 2" xfId="155" xr:uid="{00000000-0005-0000-0000-00008E000000}"/>
    <cellStyle name="20% - Accent3 2 3" xfId="156" xr:uid="{00000000-0005-0000-0000-00008F000000}"/>
    <cellStyle name="20% - Accent3 3" xfId="157" xr:uid="{00000000-0005-0000-0000-000090000000}"/>
    <cellStyle name="20% - Accent3 3 2" xfId="158" xr:uid="{00000000-0005-0000-0000-000091000000}"/>
    <cellStyle name="20% - Accent3 3 2 2" xfId="159" xr:uid="{00000000-0005-0000-0000-000092000000}"/>
    <cellStyle name="20% - Accent3 3 3" xfId="160" xr:uid="{00000000-0005-0000-0000-000093000000}"/>
    <cellStyle name="20% - Accent3 4" xfId="161" xr:uid="{00000000-0005-0000-0000-000094000000}"/>
    <cellStyle name="20% - Accent3 4 2" xfId="162" xr:uid="{00000000-0005-0000-0000-000095000000}"/>
    <cellStyle name="20% - Accent3 4 2 2" xfId="163" xr:uid="{00000000-0005-0000-0000-000096000000}"/>
    <cellStyle name="20% - Accent3 4 3" xfId="164" xr:uid="{00000000-0005-0000-0000-000097000000}"/>
    <cellStyle name="20% - Accent3 5" xfId="165" xr:uid="{00000000-0005-0000-0000-000098000000}"/>
    <cellStyle name="20% - Accent3 5 2" xfId="166" xr:uid="{00000000-0005-0000-0000-000099000000}"/>
    <cellStyle name="20% - Accent3 5 2 2" xfId="167" xr:uid="{00000000-0005-0000-0000-00009A000000}"/>
    <cellStyle name="20% - Accent3 5 3" xfId="168" xr:uid="{00000000-0005-0000-0000-00009B000000}"/>
    <cellStyle name="20% - Accent3 6" xfId="169" xr:uid="{00000000-0005-0000-0000-00009C000000}"/>
    <cellStyle name="20% - Accent3 6 2" xfId="170" xr:uid="{00000000-0005-0000-0000-00009D000000}"/>
    <cellStyle name="20% - Accent3 6 2 2" xfId="171" xr:uid="{00000000-0005-0000-0000-00009E000000}"/>
    <cellStyle name="20% - Accent3 6 3" xfId="172" xr:uid="{00000000-0005-0000-0000-00009F000000}"/>
    <cellStyle name="20% - Accent3 7" xfId="173" xr:uid="{00000000-0005-0000-0000-0000A0000000}"/>
    <cellStyle name="20% - Accent3 7 2" xfId="174" xr:uid="{00000000-0005-0000-0000-0000A1000000}"/>
    <cellStyle name="20% - Accent3 7 2 2" xfId="175" xr:uid="{00000000-0005-0000-0000-0000A2000000}"/>
    <cellStyle name="20% - Accent3 7 3" xfId="176" xr:uid="{00000000-0005-0000-0000-0000A3000000}"/>
    <cellStyle name="20% - Accent3 8" xfId="177" xr:uid="{00000000-0005-0000-0000-0000A4000000}"/>
    <cellStyle name="20% - Accent3 8 2" xfId="178" xr:uid="{00000000-0005-0000-0000-0000A5000000}"/>
    <cellStyle name="20% - Accent3 8 2 2" xfId="179" xr:uid="{00000000-0005-0000-0000-0000A6000000}"/>
    <cellStyle name="20% - Accent3 8 3" xfId="180" xr:uid="{00000000-0005-0000-0000-0000A7000000}"/>
    <cellStyle name="20% - Accent3 9" xfId="181" xr:uid="{00000000-0005-0000-0000-0000A8000000}"/>
    <cellStyle name="20% - Accent3 9 2" xfId="182" xr:uid="{00000000-0005-0000-0000-0000A9000000}"/>
    <cellStyle name="20% - Accent3 9 2 2" xfId="183" xr:uid="{00000000-0005-0000-0000-0000AA000000}"/>
    <cellStyle name="20% - Accent3 9 3" xfId="184" xr:uid="{00000000-0005-0000-0000-0000AB000000}"/>
    <cellStyle name="20% - Accent4 10" xfId="185" xr:uid="{00000000-0005-0000-0000-0000AC000000}"/>
    <cellStyle name="20% - Accent4 10 2" xfId="186" xr:uid="{00000000-0005-0000-0000-0000AD000000}"/>
    <cellStyle name="20% - Accent4 10 2 2" xfId="187" xr:uid="{00000000-0005-0000-0000-0000AE000000}"/>
    <cellStyle name="20% - Accent4 10 3" xfId="188" xr:uid="{00000000-0005-0000-0000-0000AF000000}"/>
    <cellStyle name="20% - Accent4 11" xfId="189" xr:uid="{00000000-0005-0000-0000-0000B0000000}"/>
    <cellStyle name="20% - Accent4 11 2" xfId="190" xr:uid="{00000000-0005-0000-0000-0000B1000000}"/>
    <cellStyle name="20% - Accent4 11 2 2" xfId="191" xr:uid="{00000000-0005-0000-0000-0000B2000000}"/>
    <cellStyle name="20% - Accent4 11 3" xfId="192" xr:uid="{00000000-0005-0000-0000-0000B3000000}"/>
    <cellStyle name="20% - Accent4 12" xfId="193" xr:uid="{00000000-0005-0000-0000-0000B4000000}"/>
    <cellStyle name="20% - Accent4 12 2" xfId="194" xr:uid="{00000000-0005-0000-0000-0000B5000000}"/>
    <cellStyle name="20% - Accent4 12 2 2" xfId="195" xr:uid="{00000000-0005-0000-0000-0000B6000000}"/>
    <cellStyle name="20% - Accent4 12 3" xfId="196" xr:uid="{00000000-0005-0000-0000-0000B7000000}"/>
    <cellStyle name="20% - Accent4 13" xfId="197" xr:uid="{00000000-0005-0000-0000-0000B8000000}"/>
    <cellStyle name="20% - Accent4 13 2" xfId="198" xr:uid="{00000000-0005-0000-0000-0000B9000000}"/>
    <cellStyle name="20% - Accent4 13 2 2" xfId="199" xr:uid="{00000000-0005-0000-0000-0000BA000000}"/>
    <cellStyle name="20% - Accent4 13 3" xfId="200" xr:uid="{00000000-0005-0000-0000-0000BB000000}"/>
    <cellStyle name="20% - Accent4 14" xfId="201" xr:uid="{00000000-0005-0000-0000-0000BC000000}"/>
    <cellStyle name="20% - Accent4 14 2" xfId="202" xr:uid="{00000000-0005-0000-0000-0000BD000000}"/>
    <cellStyle name="20% - Accent4 14 2 2" xfId="203" xr:uid="{00000000-0005-0000-0000-0000BE000000}"/>
    <cellStyle name="20% - Accent4 14 3" xfId="204" xr:uid="{00000000-0005-0000-0000-0000BF000000}"/>
    <cellStyle name="20% - Accent4 15" xfId="205" xr:uid="{00000000-0005-0000-0000-0000C0000000}"/>
    <cellStyle name="20% - Accent4 15 2" xfId="206" xr:uid="{00000000-0005-0000-0000-0000C1000000}"/>
    <cellStyle name="20% - Accent4 15 2 2" xfId="207" xr:uid="{00000000-0005-0000-0000-0000C2000000}"/>
    <cellStyle name="20% - Accent4 15 3" xfId="208" xr:uid="{00000000-0005-0000-0000-0000C3000000}"/>
    <cellStyle name="20% - Accent4 16" xfId="209" xr:uid="{00000000-0005-0000-0000-0000C4000000}"/>
    <cellStyle name="20% - Accent4 2" xfId="210" xr:uid="{00000000-0005-0000-0000-0000C5000000}"/>
    <cellStyle name="20% - Accent4 2 2" xfId="211" xr:uid="{00000000-0005-0000-0000-0000C6000000}"/>
    <cellStyle name="20% - Accent4 2 2 2" xfId="212" xr:uid="{00000000-0005-0000-0000-0000C7000000}"/>
    <cellStyle name="20% - Accent4 2 3" xfId="213" xr:uid="{00000000-0005-0000-0000-0000C8000000}"/>
    <cellStyle name="20% - Accent4 3" xfId="214" xr:uid="{00000000-0005-0000-0000-0000C9000000}"/>
    <cellStyle name="20% - Accent4 3 2" xfId="215" xr:uid="{00000000-0005-0000-0000-0000CA000000}"/>
    <cellStyle name="20% - Accent4 3 2 2" xfId="216" xr:uid="{00000000-0005-0000-0000-0000CB000000}"/>
    <cellStyle name="20% - Accent4 3 3" xfId="217" xr:uid="{00000000-0005-0000-0000-0000CC000000}"/>
    <cellStyle name="20% - Accent4 4" xfId="218" xr:uid="{00000000-0005-0000-0000-0000CD000000}"/>
    <cellStyle name="20% - Accent4 4 2" xfId="219" xr:uid="{00000000-0005-0000-0000-0000CE000000}"/>
    <cellStyle name="20% - Accent4 4 2 2" xfId="220" xr:uid="{00000000-0005-0000-0000-0000CF000000}"/>
    <cellStyle name="20% - Accent4 4 3" xfId="221" xr:uid="{00000000-0005-0000-0000-0000D0000000}"/>
    <cellStyle name="20% - Accent4 5" xfId="222" xr:uid="{00000000-0005-0000-0000-0000D1000000}"/>
    <cellStyle name="20% - Accent4 5 2" xfId="223" xr:uid="{00000000-0005-0000-0000-0000D2000000}"/>
    <cellStyle name="20% - Accent4 5 2 2" xfId="224" xr:uid="{00000000-0005-0000-0000-0000D3000000}"/>
    <cellStyle name="20% - Accent4 5 3" xfId="225" xr:uid="{00000000-0005-0000-0000-0000D4000000}"/>
    <cellStyle name="20% - Accent4 6" xfId="226" xr:uid="{00000000-0005-0000-0000-0000D5000000}"/>
    <cellStyle name="20% - Accent4 6 2" xfId="227" xr:uid="{00000000-0005-0000-0000-0000D6000000}"/>
    <cellStyle name="20% - Accent4 6 2 2" xfId="228" xr:uid="{00000000-0005-0000-0000-0000D7000000}"/>
    <cellStyle name="20% - Accent4 6 3" xfId="229" xr:uid="{00000000-0005-0000-0000-0000D8000000}"/>
    <cellStyle name="20% - Accent4 7" xfId="230" xr:uid="{00000000-0005-0000-0000-0000D9000000}"/>
    <cellStyle name="20% - Accent4 7 2" xfId="231" xr:uid="{00000000-0005-0000-0000-0000DA000000}"/>
    <cellStyle name="20% - Accent4 7 2 2" xfId="232" xr:uid="{00000000-0005-0000-0000-0000DB000000}"/>
    <cellStyle name="20% - Accent4 7 3" xfId="233" xr:uid="{00000000-0005-0000-0000-0000DC000000}"/>
    <cellStyle name="20% - Accent4 8" xfId="234" xr:uid="{00000000-0005-0000-0000-0000DD000000}"/>
    <cellStyle name="20% - Accent4 8 2" xfId="235" xr:uid="{00000000-0005-0000-0000-0000DE000000}"/>
    <cellStyle name="20% - Accent4 8 2 2" xfId="236" xr:uid="{00000000-0005-0000-0000-0000DF000000}"/>
    <cellStyle name="20% - Accent4 8 3" xfId="237" xr:uid="{00000000-0005-0000-0000-0000E0000000}"/>
    <cellStyle name="20% - Accent4 9" xfId="238" xr:uid="{00000000-0005-0000-0000-0000E1000000}"/>
    <cellStyle name="20% - Accent4 9 2" xfId="239" xr:uid="{00000000-0005-0000-0000-0000E2000000}"/>
    <cellStyle name="20% - Accent4 9 2 2" xfId="240" xr:uid="{00000000-0005-0000-0000-0000E3000000}"/>
    <cellStyle name="20% - Accent4 9 3" xfId="241" xr:uid="{00000000-0005-0000-0000-0000E4000000}"/>
    <cellStyle name="20% - Accent5 10" xfId="242" xr:uid="{00000000-0005-0000-0000-0000E5000000}"/>
    <cellStyle name="20% - Accent5 10 2" xfId="243" xr:uid="{00000000-0005-0000-0000-0000E6000000}"/>
    <cellStyle name="20% - Accent5 10 2 2" xfId="244" xr:uid="{00000000-0005-0000-0000-0000E7000000}"/>
    <cellStyle name="20% - Accent5 10 3" xfId="245" xr:uid="{00000000-0005-0000-0000-0000E8000000}"/>
    <cellStyle name="20% - Accent5 11" xfId="246" xr:uid="{00000000-0005-0000-0000-0000E9000000}"/>
    <cellStyle name="20% - Accent5 11 2" xfId="247" xr:uid="{00000000-0005-0000-0000-0000EA000000}"/>
    <cellStyle name="20% - Accent5 11 2 2" xfId="248" xr:uid="{00000000-0005-0000-0000-0000EB000000}"/>
    <cellStyle name="20% - Accent5 11 3" xfId="249" xr:uid="{00000000-0005-0000-0000-0000EC000000}"/>
    <cellStyle name="20% - Accent5 12" xfId="250" xr:uid="{00000000-0005-0000-0000-0000ED000000}"/>
    <cellStyle name="20% - Accent5 12 2" xfId="251" xr:uid="{00000000-0005-0000-0000-0000EE000000}"/>
    <cellStyle name="20% - Accent5 12 2 2" xfId="252" xr:uid="{00000000-0005-0000-0000-0000EF000000}"/>
    <cellStyle name="20% - Accent5 12 3" xfId="253" xr:uid="{00000000-0005-0000-0000-0000F0000000}"/>
    <cellStyle name="20% - Accent5 13" xfId="254" xr:uid="{00000000-0005-0000-0000-0000F1000000}"/>
    <cellStyle name="20% - Accent5 13 2" xfId="255" xr:uid="{00000000-0005-0000-0000-0000F2000000}"/>
    <cellStyle name="20% - Accent5 13 2 2" xfId="256" xr:uid="{00000000-0005-0000-0000-0000F3000000}"/>
    <cellStyle name="20% - Accent5 13 3" xfId="257" xr:uid="{00000000-0005-0000-0000-0000F4000000}"/>
    <cellStyle name="20% - Accent5 14" xfId="258" xr:uid="{00000000-0005-0000-0000-0000F5000000}"/>
    <cellStyle name="20% - Accent5 14 2" xfId="259" xr:uid="{00000000-0005-0000-0000-0000F6000000}"/>
    <cellStyle name="20% - Accent5 14 2 2" xfId="260" xr:uid="{00000000-0005-0000-0000-0000F7000000}"/>
    <cellStyle name="20% - Accent5 14 3" xfId="261" xr:uid="{00000000-0005-0000-0000-0000F8000000}"/>
    <cellStyle name="20% - Accent5 15" xfId="262" xr:uid="{00000000-0005-0000-0000-0000F9000000}"/>
    <cellStyle name="20% - Accent5 15 2" xfId="263" xr:uid="{00000000-0005-0000-0000-0000FA000000}"/>
    <cellStyle name="20% - Accent5 15 2 2" xfId="264" xr:uid="{00000000-0005-0000-0000-0000FB000000}"/>
    <cellStyle name="20% - Accent5 15 3" xfId="265" xr:uid="{00000000-0005-0000-0000-0000FC000000}"/>
    <cellStyle name="20% - Accent5 16" xfId="266" xr:uid="{00000000-0005-0000-0000-0000FD000000}"/>
    <cellStyle name="20% - Accent5 2" xfId="267" xr:uid="{00000000-0005-0000-0000-0000FE000000}"/>
    <cellStyle name="20% - Accent5 2 2" xfId="268" xr:uid="{00000000-0005-0000-0000-0000FF000000}"/>
    <cellStyle name="20% - Accent5 2 2 2" xfId="269" xr:uid="{00000000-0005-0000-0000-000000010000}"/>
    <cellStyle name="20% - Accent5 2 3" xfId="270" xr:uid="{00000000-0005-0000-0000-000001010000}"/>
    <cellStyle name="20% - Accent5 3" xfId="271" xr:uid="{00000000-0005-0000-0000-000002010000}"/>
    <cellStyle name="20% - Accent5 3 2" xfId="272" xr:uid="{00000000-0005-0000-0000-000003010000}"/>
    <cellStyle name="20% - Accent5 3 2 2" xfId="273" xr:uid="{00000000-0005-0000-0000-000004010000}"/>
    <cellStyle name="20% - Accent5 3 3" xfId="274" xr:uid="{00000000-0005-0000-0000-000005010000}"/>
    <cellStyle name="20% - Accent5 4" xfId="275" xr:uid="{00000000-0005-0000-0000-000006010000}"/>
    <cellStyle name="20% - Accent5 4 2" xfId="276" xr:uid="{00000000-0005-0000-0000-000007010000}"/>
    <cellStyle name="20% - Accent5 4 2 2" xfId="277" xr:uid="{00000000-0005-0000-0000-000008010000}"/>
    <cellStyle name="20% - Accent5 4 3" xfId="278" xr:uid="{00000000-0005-0000-0000-000009010000}"/>
    <cellStyle name="20% - Accent5 5" xfId="279" xr:uid="{00000000-0005-0000-0000-00000A010000}"/>
    <cellStyle name="20% - Accent5 5 2" xfId="280" xr:uid="{00000000-0005-0000-0000-00000B010000}"/>
    <cellStyle name="20% - Accent5 5 2 2" xfId="281" xr:uid="{00000000-0005-0000-0000-00000C010000}"/>
    <cellStyle name="20% - Accent5 5 3" xfId="282" xr:uid="{00000000-0005-0000-0000-00000D010000}"/>
    <cellStyle name="20% - Accent5 6" xfId="283" xr:uid="{00000000-0005-0000-0000-00000E010000}"/>
    <cellStyle name="20% - Accent5 6 2" xfId="284" xr:uid="{00000000-0005-0000-0000-00000F010000}"/>
    <cellStyle name="20% - Accent5 6 2 2" xfId="285" xr:uid="{00000000-0005-0000-0000-000010010000}"/>
    <cellStyle name="20% - Accent5 6 3" xfId="286" xr:uid="{00000000-0005-0000-0000-000011010000}"/>
    <cellStyle name="20% - Accent5 7" xfId="287" xr:uid="{00000000-0005-0000-0000-000012010000}"/>
    <cellStyle name="20% - Accent5 7 2" xfId="288" xr:uid="{00000000-0005-0000-0000-000013010000}"/>
    <cellStyle name="20% - Accent5 7 2 2" xfId="289" xr:uid="{00000000-0005-0000-0000-000014010000}"/>
    <cellStyle name="20% - Accent5 7 3" xfId="290" xr:uid="{00000000-0005-0000-0000-000015010000}"/>
    <cellStyle name="20% - Accent5 8" xfId="291" xr:uid="{00000000-0005-0000-0000-000016010000}"/>
    <cellStyle name="20% - Accent5 8 2" xfId="292" xr:uid="{00000000-0005-0000-0000-000017010000}"/>
    <cellStyle name="20% - Accent5 8 2 2" xfId="293" xr:uid="{00000000-0005-0000-0000-000018010000}"/>
    <cellStyle name="20% - Accent5 8 3" xfId="294" xr:uid="{00000000-0005-0000-0000-000019010000}"/>
    <cellStyle name="20% - Accent5 9" xfId="295" xr:uid="{00000000-0005-0000-0000-00001A010000}"/>
    <cellStyle name="20% - Accent5 9 2" xfId="296" xr:uid="{00000000-0005-0000-0000-00001B010000}"/>
    <cellStyle name="20% - Accent5 9 2 2" xfId="297" xr:uid="{00000000-0005-0000-0000-00001C010000}"/>
    <cellStyle name="20% - Accent5 9 3" xfId="298" xr:uid="{00000000-0005-0000-0000-00001D010000}"/>
    <cellStyle name="20% - Accent6 10" xfId="299" xr:uid="{00000000-0005-0000-0000-00001E010000}"/>
    <cellStyle name="20% - Accent6 10 2" xfId="300" xr:uid="{00000000-0005-0000-0000-00001F010000}"/>
    <cellStyle name="20% - Accent6 10 2 2" xfId="301" xr:uid="{00000000-0005-0000-0000-000020010000}"/>
    <cellStyle name="20% - Accent6 10 3" xfId="302" xr:uid="{00000000-0005-0000-0000-000021010000}"/>
    <cellStyle name="20% - Accent6 11" xfId="303" xr:uid="{00000000-0005-0000-0000-000022010000}"/>
    <cellStyle name="20% - Accent6 11 2" xfId="304" xr:uid="{00000000-0005-0000-0000-000023010000}"/>
    <cellStyle name="20% - Accent6 11 2 2" xfId="305" xr:uid="{00000000-0005-0000-0000-000024010000}"/>
    <cellStyle name="20% - Accent6 11 3" xfId="306" xr:uid="{00000000-0005-0000-0000-000025010000}"/>
    <cellStyle name="20% - Accent6 12" xfId="307" xr:uid="{00000000-0005-0000-0000-000026010000}"/>
    <cellStyle name="20% - Accent6 12 2" xfId="308" xr:uid="{00000000-0005-0000-0000-000027010000}"/>
    <cellStyle name="20% - Accent6 12 2 2" xfId="309" xr:uid="{00000000-0005-0000-0000-000028010000}"/>
    <cellStyle name="20% - Accent6 12 3" xfId="310" xr:uid="{00000000-0005-0000-0000-000029010000}"/>
    <cellStyle name="20% - Accent6 13" xfId="311" xr:uid="{00000000-0005-0000-0000-00002A010000}"/>
    <cellStyle name="20% - Accent6 13 2" xfId="312" xr:uid="{00000000-0005-0000-0000-00002B010000}"/>
    <cellStyle name="20% - Accent6 13 2 2" xfId="313" xr:uid="{00000000-0005-0000-0000-00002C010000}"/>
    <cellStyle name="20% - Accent6 13 3" xfId="314" xr:uid="{00000000-0005-0000-0000-00002D010000}"/>
    <cellStyle name="20% - Accent6 14" xfId="315" xr:uid="{00000000-0005-0000-0000-00002E010000}"/>
    <cellStyle name="20% - Accent6 14 2" xfId="316" xr:uid="{00000000-0005-0000-0000-00002F010000}"/>
    <cellStyle name="20% - Accent6 14 2 2" xfId="317" xr:uid="{00000000-0005-0000-0000-000030010000}"/>
    <cellStyle name="20% - Accent6 14 3" xfId="318" xr:uid="{00000000-0005-0000-0000-000031010000}"/>
    <cellStyle name="20% - Accent6 15" xfId="319" xr:uid="{00000000-0005-0000-0000-000032010000}"/>
    <cellStyle name="20% - Accent6 15 2" xfId="320" xr:uid="{00000000-0005-0000-0000-000033010000}"/>
    <cellStyle name="20% - Accent6 15 2 2" xfId="321" xr:uid="{00000000-0005-0000-0000-000034010000}"/>
    <cellStyle name="20% - Accent6 15 3" xfId="322" xr:uid="{00000000-0005-0000-0000-000035010000}"/>
    <cellStyle name="20% - Accent6 16" xfId="323" xr:uid="{00000000-0005-0000-0000-000036010000}"/>
    <cellStyle name="20% - Accent6 2" xfId="324" xr:uid="{00000000-0005-0000-0000-000037010000}"/>
    <cellStyle name="20% - Accent6 2 2" xfId="325" xr:uid="{00000000-0005-0000-0000-000038010000}"/>
    <cellStyle name="20% - Accent6 2 2 2" xfId="326" xr:uid="{00000000-0005-0000-0000-000039010000}"/>
    <cellStyle name="20% - Accent6 2 3" xfId="327" xr:uid="{00000000-0005-0000-0000-00003A010000}"/>
    <cellStyle name="20% - Accent6 3" xfId="328" xr:uid="{00000000-0005-0000-0000-00003B010000}"/>
    <cellStyle name="20% - Accent6 3 2" xfId="329" xr:uid="{00000000-0005-0000-0000-00003C010000}"/>
    <cellStyle name="20% - Accent6 3 2 2" xfId="330" xr:uid="{00000000-0005-0000-0000-00003D010000}"/>
    <cellStyle name="20% - Accent6 3 3" xfId="331" xr:uid="{00000000-0005-0000-0000-00003E010000}"/>
    <cellStyle name="20% - Accent6 4" xfId="332" xr:uid="{00000000-0005-0000-0000-00003F010000}"/>
    <cellStyle name="20% - Accent6 4 2" xfId="333" xr:uid="{00000000-0005-0000-0000-000040010000}"/>
    <cellStyle name="20% - Accent6 4 2 2" xfId="334" xr:uid="{00000000-0005-0000-0000-000041010000}"/>
    <cellStyle name="20% - Accent6 4 3" xfId="335" xr:uid="{00000000-0005-0000-0000-000042010000}"/>
    <cellStyle name="20% - Accent6 5" xfId="336" xr:uid="{00000000-0005-0000-0000-000043010000}"/>
    <cellStyle name="20% - Accent6 5 2" xfId="337" xr:uid="{00000000-0005-0000-0000-000044010000}"/>
    <cellStyle name="20% - Accent6 5 2 2" xfId="338" xr:uid="{00000000-0005-0000-0000-000045010000}"/>
    <cellStyle name="20% - Accent6 5 3" xfId="339" xr:uid="{00000000-0005-0000-0000-000046010000}"/>
    <cellStyle name="20% - Accent6 6" xfId="340" xr:uid="{00000000-0005-0000-0000-000047010000}"/>
    <cellStyle name="20% - Accent6 6 2" xfId="341" xr:uid="{00000000-0005-0000-0000-000048010000}"/>
    <cellStyle name="20% - Accent6 6 2 2" xfId="342" xr:uid="{00000000-0005-0000-0000-000049010000}"/>
    <cellStyle name="20% - Accent6 6 3" xfId="343" xr:uid="{00000000-0005-0000-0000-00004A010000}"/>
    <cellStyle name="20% - Accent6 7" xfId="344" xr:uid="{00000000-0005-0000-0000-00004B010000}"/>
    <cellStyle name="20% - Accent6 7 2" xfId="345" xr:uid="{00000000-0005-0000-0000-00004C010000}"/>
    <cellStyle name="20% - Accent6 7 2 2" xfId="346" xr:uid="{00000000-0005-0000-0000-00004D010000}"/>
    <cellStyle name="20% - Accent6 7 3" xfId="347" xr:uid="{00000000-0005-0000-0000-00004E010000}"/>
    <cellStyle name="20% - Accent6 8" xfId="348" xr:uid="{00000000-0005-0000-0000-00004F010000}"/>
    <cellStyle name="20% - Accent6 8 2" xfId="349" xr:uid="{00000000-0005-0000-0000-000050010000}"/>
    <cellStyle name="20% - Accent6 8 2 2" xfId="350" xr:uid="{00000000-0005-0000-0000-000051010000}"/>
    <cellStyle name="20% - Accent6 8 3" xfId="351" xr:uid="{00000000-0005-0000-0000-000052010000}"/>
    <cellStyle name="20% - Accent6 9" xfId="352" xr:uid="{00000000-0005-0000-0000-000053010000}"/>
    <cellStyle name="20% - Accent6 9 2" xfId="353" xr:uid="{00000000-0005-0000-0000-000054010000}"/>
    <cellStyle name="20% - Accent6 9 2 2" xfId="354" xr:uid="{00000000-0005-0000-0000-000055010000}"/>
    <cellStyle name="20% - Accent6 9 3" xfId="355" xr:uid="{00000000-0005-0000-0000-000056010000}"/>
    <cellStyle name="40% - Accent1 10" xfId="356" xr:uid="{00000000-0005-0000-0000-000057010000}"/>
    <cellStyle name="40% - Accent1 10 2" xfId="357" xr:uid="{00000000-0005-0000-0000-000058010000}"/>
    <cellStyle name="40% - Accent1 10 2 2" xfId="358" xr:uid="{00000000-0005-0000-0000-000059010000}"/>
    <cellStyle name="40% - Accent1 10 3" xfId="359" xr:uid="{00000000-0005-0000-0000-00005A010000}"/>
    <cellStyle name="40% - Accent1 11" xfId="360" xr:uid="{00000000-0005-0000-0000-00005B010000}"/>
    <cellStyle name="40% - Accent1 11 2" xfId="361" xr:uid="{00000000-0005-0000-0000-00005C010000}"/>
    <cellStyle name="40% - Accent1 11 2 2" xfId="362" xr:uid="{00000000-0005-0000-0000-00005D010000}"/>
    <cellStyle name="40% - Accent1 11 3" xfId="363" xr:uid="{00000000-0005-0000-0000-00005E010000}"/>
    <cellStyle name="40% - Accent1 12" xfId="364" xr:uid="{00000000-0005-0000-0000-00005F010000}"/>
    <cellStyle name="40% - Accent1 12 2" xfId="365" xr:uid="{00000000-0005-0000-0000-000060010000}"/>
    <cellStyle name="40% - Accent1 12 2 2" xfId="366" xr:uid="{00000000-0005-0000-0000-000061010000}"/>
    <cellStyle name="40% - Accent1 12 3" xfId="367" xr:uid="{00000000-0005-0000-0000-000062010000}"/>
    <cellStyle name="40% - Accent1 13" xfId="368" xr:uid="{00000000-0005-0000-0000-000063010000}"/>
    <cellStyle name="40% - Accent1 13 2" xfId="369" xr:uid="{00000000-0005-0000-0000-000064010000}"/>
    <cellStyle name="40% - Accent1 13 2 2" xfId="370" xr:uid="{00000000-0005-0000-0000-000065010000}"/>
    <cellStyle name="40% - Accent1 13 3" xfId="371" xr:uid="{00000000-0005-0000-0000-000066010000}"/>
    <cellStyle name="40% - Accent1 14" xfId="372" xr:uid="{00000000-0005-0000-0000-000067010000}"/>
    <cellStyle name="40% - Accent1 14 2" xfId="373" xr:uid="{00000000-0005-0000-0000-000068010000}"/>
    <cellStyle name="40% - Accent1 14 2 2" xfId="374" xr:uid="{00000000-0005-0000-0000-000069010000}"/>
    <cellStyle name="40% - Accent1 14 3" xfId="375" xr:uid="{00000000-0005-0000-0000-00006A010000}"/>
    <cellStyle name="40% - Accent1 15" xfId="376" xr:uid="{00000000-0005-0000-0000-00006B010000}"/>
    <cellStyle name="40% - Accent1 15 2" xfId="377" xr:uid="{00000000-0005-0000-0000-00006C010000}"/>
    <cellStyle name="40% - Accent1 15 2 2" xfId="378" xr:uid="{00000000-0005-0000-0000-00006D010000}"/>
    <cellStyle name="40% - Accent1 15 3" xfId="379" xr:uid="{00000000-0005-0000-0000-00006E010000}"/>
    <cellStyle name="40% - Accent1 16" xfId="380" xr:uid="{00000000-0005-0000-0000-00006F010000}"/>
    <cellStyle name="40% - Accent1 2" xfId="381" xr:uid="{00000000-0005-0000-0000-000070010000}"/>
    <cellStyle name="40% - Accent1 2 2" xfId="382" xr:uid="{00000000-0005-0000-0000-000071010000}"/>
    <cellStyle name="40% - Accent1 2 2 2" xfId="383" xr:uid="{00000000-0005-0000-0000-000072010000}"/>
    <cellStyle name="40% - Accent1 2 3" xfId="384" xr:uid="{00000000-0005-0000-0000-000073010000}"/>
    <cellStyle name="40% - Accent1 3" xfId="385" xr:uid="{00000000-0005-0000-0000-000074010000}"/>
    <cellStyle name="40% - Accent1 3 2" xfId="386" xr:uid="{00000000-0005-0000-0000-000075010000}"/>
    <cellStyle name="40% - Accent1 3 2 2" xfId="387" xr:uid="{00000000-0005-0000-0000-000076010000}"/>
    <cellStyle name="40% - Accent1 3 3" xfId="388" xr:uid="{00000000-0005-0000-0000-000077010000}"/>
    <cellStyle name="40% - Accent1 4" xfId="389" xr:uid="{00000000-0005-0000-0000-000078010000}"/>
    <cellStyle name="40% - Accent1 4 2" xfId="390" xr:uid="{00000000-0005-0000-0000-000079010000}"/>
    <cellStyle name="40% - Accent1 4 2 2" xfId="391" xr:uid="{00000000-0005-0000-0000-00007A010000}"/>
    <cellStyle name="40% - Accent1 4 3" xfId="392" xr:uid="{00000000-0005-0000-0000-00007B010000}"/>
    <cellStyle name="40% - Accent1 5" xfId="393" xr:uid="{00000000-0005-0000-0000-00007C010000}"/>
    <cellStyle name="40% - Accent1 5 2" xfId="394" xr:uid="{00000000-0005-0000-0000-00007D010000}"/>
    <cellStyle name="40% - Accent1 5 2 2" xfId="395" xr:uid="{00000000-0005-0000-0000-00007E010000}"/>
    <cellStyle name="40% - Accent1 5 3" xfId="396" xr:uid="{00000000-0005-0000-0000-00007F010000}"/>
    <cellStyle name="40% - Accent1 6" xfId="397" xr:uid="{00000000-0005-0000-0000-000080010000}"/>
    <cellStyle name="40% - Accent1 6 2" xfId="398" xr:uid="{00000000-0005-0000-0000-000081010000}"/>
    <cellStyle name="40% - Accent1 6 2 2" xfId="399" xr:uid="{00000000-0005-0000-0000-000082010000}"/>
    <cellStyle name="40% - Accent1 6 3" xfId="400" xr:uid="{00000000-0005-0000-0000-000083010000}"/>
    <cellStyle name="40% - Accent1 7" xfId="401" xr:uid="{00000000-0005-0000-0000-000084010000}"/>
    <cellStyle name="40% - Accent1 7 2" xfId="402" xr:uid="{00000000-0005-0000-0000-000085010000}"/>
    <cellStyle name="40% - Accent1 7 2 2" xfId="403" xr:uid="{00000000-0005-0000-0000-000086010000}"/>
    <cellStyle name="40% - Accent1 7 3" xfId="404" xr:uid="{00000000-0005-0000-0000-000087010000}"/>
    <cellStyle name="40% - Accent1 8" xfId="405" xr:uid="{00000000-0005-0000-0000-000088010000}"/>
    <cellStyle name="40% - Accent1 8 2" xfId="406" xr:uid="{00000000-0005-0000-0000-000089010000}"/>
    <cellStyle name="40% - Accent1 8 2 2" xfId="407" xr:uid="{00000000-0005-0000-0000-00008A010000}"/>
    <cellStyle name="40% - Accent1 8 3" xfId="408" xr:uid="{00000000-0005-0000-0000-00008B010000}"/>
    <cellStyle name="40% - Accent1 9" xfId="409" xr:uid="{00000000-0005-0000-0000-00008C010000}"/>
    <cellStyle name="40% - Accent1 9 2" xfId="410" xr:uid="{00000000-0005-0000-0000-00008D010000}"/>
    <cellStyle name="40% - Accent1 9 2 2" xfId="411" xr:uid="{00000000-0005-0000-0000-00008E010000}"/>
    <cellStyle name="40% - Accent1 9 3" xfId="412" xr:uid="{00000000-0005-0000-0000-00008F010000}"/>
    <cellStyle name="40% - Accent2 10" xfId="413" xr:uid="{00000000-0005-0000-0000-000090010000}"/>
    <cellStyle name="40% - Accent2 10 2" xfId="414" xr:uid="{00000000-0005-0000-0000-000091010000}"/>
    <cellStyle name="40% - Accent2 10 2 2" xfId="415" xr:uid="{00000000-0005-0000-0000-000092010000}"/>
    <cellStyle name="40% - Accent2 10 3" xfId="416" xr:uid="{00000000-0005-0000-0000-000093010000}"/>
    <cellStyle name="40% - Accent2 11" xfId="417" xr:uid="{00000000-0005-0000-0000-000094010000}"/>
    <cellStyle name="40% - Accent2 11 2" xfId="418" xr:uid="{00000000-0005-0000-0000-000095010000}"/>
    <cellStyle name="40% - Accent2 11 2 2" xfId="419" xr:uid="{00000000-0005-0000-0000-000096010000}"/>
    <cellStyle name="40% - Accent2 11 3" xfId="420" xr:uid="{00000000-0005-0000-0000-000097010000}"/>
    <cellStyle name="40% - Accent2 12" xfId="421" xr:uid="{00000000-0005-0000-0000-000098010000}"/>
    <cellStyle name="40% - Accent2 12 2" xfId="422" xr:uid="{00000000-0005-0000-0000-000099010000}"/>
    <cellStyle name="40% - Accent2 12 2 2" xfId="423" xr:uid="{00000000-0005-0000-0000-00009A010000}"/>
    <cellStyle name="40% - Accent2 12 3" xfId="424" xr:uid="{00000000-0005-0000-0000-00009B010000}"/>
    <cellStyle name="40% - Accent2 13" xfId="425" xr:uid="{00000000-0005-0000-0000-00009C010000}"/>
    <cellStyle name="40% - Accent2 13 2" xfId="426" xr:uid="{00000000-0005-0000-0000-00009D010000}"/>
    <cellStyle name="40% - Accent2 13 2 2" xfId="427" xr:uid="{00000000-0005-0000-0000-00009E010000}"/>
    <cellStyle name="40% - Accent2 13 3" xfId="428" xr:uid="{00000000-0005-0000-0000-00009F010000}"/>
    <cellStyle name="40% - Accent2 14" xfId="429" xr:uid="{00000000-0005-0000-0000-0000A0010000}"/>
    <cellStyle name="40% - Accent2 14 2" xfId="430" xr:uid="{00000000-0005-0000-0000-0000A1010000}"/>
    <cellStyle name="40% - Accent2 14 2 2" xfId="431" xr:uid="{00000000-0005-0000-0000-0000A2010000}"/>
    <cellStyle name="40% - Accent2 14 3" xfId="432" xr:uid="{00000000-0005-0000-0000-0000A3010000}"/>
    <cellStyle name="40% - Accent2 15" xfId="433" xr:uid="{00000000-0005-0000-0000-0000A4010000}"/>
    <cellStyle name="40% - Accent2 15 2" xfId="434" xr:uid="{00000000-0005-0000-0000-0000A5010000}"/>
    <cellStyle name="40% - Accent2 15 2 2" xfId="435" xr:uid="{00000000-0005-0000-0000-0000A6010000}"/>
    <cellStyle name="40% - Accent2 15 3" xfId="436" xr:uid="{00000000-0005-0000-0000-0000A7010000}"/>
    <cellStyle name="40% - Accent2 16" xfId="437" xr:uid="{00000000-0005-0000-0000-0000A8010000}"/>
    <cellStyle name="40% - Accent2 2" xfId="438" xr:uid="{00000000-0005-0000-0000-0000A9010000}"/>
    <cellStyle name="40% - Accent2 2 2" xfId="439" xr:uid="{00000000-0005-0000-0000-0000AA010000}"/>
    <cellStyle name="40% - Accent2 2 2 2" xfId="440" xr:uid="{00000000-0005-0000-0000-0000AB010000}"/>
    <cellStyle name="40% - Accent2 2 3" xfId="441" xr:uid="{00000000-0005-0000-0000-0000AC010000}"/>
    <cellStyle name="40% - Accent2 3" xfId="442" xr:uid="{00000000-0005-0000-0000-0000AD010000}"/>
    <cellStyle name="40% - Accent2 3 2" xfId="443" xr:uid="{00000000-0005-0000-0000-0000AE010000}"/>
    <cellStyle name="40% - Accent2 3 2 2" xfId="444" xr:uid="{00000000-0005-0000-0000-0000AF010000}"/>
    <cellStyle name="40% - Accent2 3 3" xfId="445" xr:uid="{00000000-0005-0000-0000-0000B0010000}"/>
    <cellStyle name="40% - Accent2 4" xfId="446" xr:uid="{00000000-0005-0000-0000-0000B1010000}"/>
    <cellStyle name="40% - Accent2 4 2" xfId="447" xr:uid="{00000000-0005-0000-0000-0000B2010000}"/>
    <cellStyle name="40% - Accent2 4 2 2" xfId="448" xr:uid="{00000000-0005-0000-0000-0000B3010000}"/>
    <cellStyle name="40% - Accent2 4 3" xfId="449" xr:uid="{00000000-0005-0000-0000-0000B4010000}"/>
    <cellStyle name="40% - Accent2 5" xfId="450" xr:uid="{00000000-0005-0000-0000-0000B5010000}"/>
    <cellStyle name="40% - Accent2 5 2" xfId="451" xr:uid="{00000000-0005-0000-0000-0000B6010000}"/>
    <cellStyle name="40% - Accent2 5 2 2" xfId="452" xr:uid="{00000000-0005-0000-0000-0000B7010000}"/>
    <cellStyle name="40% - Accent2 5 3" xfId="453" xr:uid="{00000000-0005-0000-0000-0000B8010000}"/>
    <cellStyle name="40% - Accent2 6" xfId="454" xr:uid="{00000000-0005-0000-0000-0000B9010000}"/>
    <cellStyle name="40% - Accent2 6 2" xfId="455" xr:uid="{00000000-0005-0000-0000-0000BA010000}"/>
    <cellStyle name="40% - Accent2 6 2 2" xfId="456" xr:uid="{00000000-0005-0000-0000-0000BB010000}"/>
    <cellStyle name="40% - Accent2 6 3" xfId="457" xr:uid="{00000000-0005-0000-0000-0000BC010000}"/>
    <cellStyle name="40% - Accent2 7" xfId="458" xr:uid="{00000000-0005-0000-0000-0000BD010000}"/>
    <cellStyle name="40% - Accent2 7 2" xfId="459" xr:uid="{00000000-0005-0000-0000-0000BE010000}"/>
    <cellStyle name="40% - Accent2 7 2 2" xfId="460" xr:uid="{00000000-0005-0000-0000-0000BF010000}"/>
    <cellStyle name="40% - Accent2 7 3" xfId="461" xr:uid="{00000000-0005-0000-0000-0000C0010000}"/>
    <cellStyle name="40% - Accent2 8" xfId="462" xr:uid="{00000000-0005-0000-0000-0000C1010000}"/>
    <cellStyle name="40% - Accent2 8 2" xfId="463" xr:uid="{00000000-0005-0000-0000-0000C2010000}"/>
    <cellStyle name="40% - Accent2 8 2 2" xfId="464" xr:uid="{00000000-0005-0000-0000-0000C3010000}"/>
    <cellStyle name="40% - Accent2 8 3" xfId="465" xr:uid="{00000000-0005-0000-0000-0000C4010000}"/>
    <cellStyle name="40% - Accent2 9" xfId="466" xr:uid="{00000000-0005-0000-0000-0000C5010000}"/>
    <cellStyle name="40% - Accent2 9 2" xfId="467" xr:uid="{00000000-0005-0000-0000-0000C6010000}"/>
    <cellStyle name="40% - Accent2 9 2 2" xfId="468" xr:uid="{00000000-0005-0000-0000-0000C7010000}"/>
    <cellStyle name="40% - Accent2 9 3" xfId="469" xr:uid="{00000000-0005-0000-0000-0000C8010000}"/>
    <cellStyle name="40% - Accent3 10" xfId="470" xr:uid="{00000000-0005-0000-0000-0000C9010000}"/>
    <cellStyle name="40% - Accent3 10 2" xfId="471" xr:uid="{00000000-0005-0000-0000-0000CA010000}"/>
    <cellStyle name="40% - Accent3 10 2 2" xfId="472" xr:uid="{00000000-0005-0000-0000-0000CB010000}"/>
    <cellStyle name="40% - Accent3 10 3" xfId="473" xr:uid="{00000000-0005-0000-0000-0000CC010000}"/>
    <cellStyle name="40% - Accent3 11" xfId="474" xr:uid="{00000000-0005-0000-0000-0000CD010000}"/>
    <cellStyle name="40% - Accent3 11 2" xfId="475" xr:uid="{00000000-0005-0000-0000-0000CE010000}"/>
    <cellStyle name="40% - Accent3 11 2 2" xfId="476" xr:uid="{00000000-0005-0000-0000-0000CF010000}"/>
    <cellStyle name="40% - Accent3 11 3" xfId="477" xr:uid="{00000000-0005-0000-0000-0000D0010000}"/>
    <cellStyle name="40% - Accent3 12" xfId="478" xr:uid="{00000000-0005-0000-0000-0000D1010000}"/>
    <cellStyle name="40% - Accent3 12 2" xfId="479" xr:uid="{00000000-0005-0000-0000-0000D2010000}"/>
    <cellStyle name="40% - Accent3 12 2 2" xfId="480" xr:uid="{00000000-0005-0000-0000-0000D3010000}"/>
    <cellStyle name="40% - Accent3 12 3" xfId="481" xr:uid="{00000000-0005-0000-0000-0000D4010000}"/>
    <cellStyle name="40% - Accent3 13" xfId="482" xr:uid="{00000000-0005-0000-0000-0000D5010000}"/>
    <cellStyle name="40% - Accent3 13 2" xfId="483" xr:uid="{00000000-0005-0000-0000-0000D6010000}"/>
    <cellStyle name="40% - Accent3 13 2 2" xfId="484" xr:uid="{00000000-0005-0000-0000-0000D7010000}"/>
    <cellStyle name="40% - Accent3 13 3" xfId="485" xr:uid="{00000000-0005-0000-0000-0000D8010000}"/>
    <cellStyle name="40% - Accent3 14" xfId="486" xr:uid="{00000000-0005-0000-0000-0000D9010000}"/>
    <cellStyle name="40% - Accent3 14 2" xfId="487" xr:uid="{00000000-0005-0000-0000-0000DA010000}"/>
    <cellStyle name="40% - Accent3 14 2 2" xfId="488" xr:uid="{00000000-0005-0000-0000-0000DB010000}"/>
    <cellStyle name="40% - Accent3 14 3" xfId="489" xr:uid="{00000000-0005-0000-0000-0000DC010000}"/>
    <cellStyle name="40% - Accent3 15" xfId="490" xr:uid="{00000000-0005-0000-0000-0000DD010000}"/>
    <cellStyle name="40% - Accent3 15 2" xfId="491" xr:uid="{00000000-0005-0000-0000-0000DE010000}"/>
    <cellStyle name="40% - Accent3 15 2 2" xfId="492" xr:uid="{00000000-0005-0000-0000-0000DF010000}"/>
    <cellStyle name="40% - Accent3 15 3" xfId="493" xr:uid="{00000000-0005-0000-0000-0000E0010000}"/>
    <cellStyle name="40% - Accent3 16" xfId="494" xr:uid="{00000000-0005-0000-0000-0000E1010000}"/>
    <cellStyle name="40% - Accent3 2" xfId="495" xr:uid="{00000000-0005-0000-0000-0000E2010000}"/>
    <cellStyle name="40% - Accent3 2 2" xfId="496" xr:uid="{00000000-0005-0000-0000-0000E3010000}"/>
    <cellStyle name="40% - Accent3 2 2 2" xfId="497" xr:uid="{00000000-0005-0000-0000-0000E4010000}"/>
    <cellStyle name="40% - Accent3 2 3" xfId="498" xr:uid="{00000000-0005-0000-0000-0000E5010000}"/>
    <cellStyle name="40% - Accent3 3" xfId="499" xr:uid="{00000000-0005-0000-0000-0000E6010000}"/>
    <cellStyle name="40% - Accent3 3 2" xfId="500" xr:uid="{00000000-0005-0000-0000-0000E7010000}"/>
    <cellStyle name="40% - Accent3 3 2 2" xfId="501" xr:uid="{00000000-0005-0000-0000-0000E8010000}"/>
    <cellStyle name="40% - Accent3 3 3" xfId="502" xr:uid="{00000000-0005-0000-0000-0000E9010000}"/>
    <cellStyle name="40% - Accent3 4" xfId="503" xr:uid="{00000000-0005-0000-0000-0000EA010000}"/>
    <cellStyle name="40% - Accent3 4 2" xfId="504" xr:uid="{00000000-0005-0000-0000-0000EB010000}"/>
    <cellStyle name="40% - Accent3 4 2 2" xfId="505" xr:uid="{00000000-0005-0000-0000-0000EC010000}"/>
    <cellStyle name="40% - Accent3 4 3" xfId="506" xr:uid="{00000000-0005-0000-0000-0000ED010000}"/>
    <cellStyle name="40% - Accent3 5" xfId="507" xr:uid="{00000000-0005-0000-0000-0000EE010000}"/>
    <cellStyle name="40% - Accent3 5 2" xfId="508" xr:uid="{00000000-0005-0000-0000-0000EF010000}"/>
    <cellStyle name="40% - Accent3 5 2 2" xfId="509" xr:uid="{00000000-0005-0000-0000-0000F0010000}"/>
    <cellStyle name="40% - Accent3 5 3" xfId="510" xr:uid="{00000000-0005-0000-0000-0000F1010000}"/>
    <cellStyle name="40% - Accent3 6" xfId="511" xr:uid="{00000000-0005-0000-0000-0000F2010000}"/>
    <cellStyle name="40% - Accent3 6 2" xfId="512" xr:uid="{00000000-0005-0000-0000-0000F3010000}"/>
    <cellStyle name="40% - Accent3 6 2 2" xfId="513" xr:uid="{00000000-0005-0000-0000-0000F4010000}"/>
    <cellStyle name="40% - Accent3 6 3" xfId="514" xr:uid="{00000000-0005-0000-0000-0000F5010000}"/>
    <cellStyle name="40% - Accent3 7" xfId="515" xr:uid="{00000000-0005-0000-0000-0000F6010000}"/>
    <cellStyle name="40% - Accent3 7 2" xfId="516" xr:uid="{00000000-0005-0000-0000-0000F7010000}"/>
    <cellStyle name="40% - Accent3 7 2 2" xfId="517" xr:uid="{00000000-0005-0000-0000-0000F8010000}"/>
    <cellStyle name="40% - Accent3 7 3" xfId="518" xr:uid="{00000000-0005-0000-0000-0000F9010000}"/>
    <cellStyle name="40% - Accent3 8" xfId="519" xr:uid="{00000000-0005-0000-0000-0000FA010000}"/>
    <cellStyle name="40% - Accent3 8 2" xfId="520" xr:uid="{00000000-0005-0000-0000-0000FB010000}"/>
    <cellStyle name="40% - Accent3 8 2 2" xfId="521" xr:uid="{00000000-0005-0000-0000-0000FC010000}"/>
    <cellStyle name="40% - Accent3 8 3" xfId="522" xr:uid="{00000000-0005-0000-0000-0000FD010000}"/>
    <cellStyle name="40% - Accent3 9" xfId="523" xr:uid="{00000000-0005-0000-0000-0000FE010000}"/>
    <cellStyle name="40% - Accent3 9 2" xfId="524" xr:uid="{00000000-0005-0000-0000-0000FF010000}"/>
    <cellStyle name="40% - Accent3 9 2 2" xfId="525" xr:uid="{00000000-0005-0000-0000-000000020000}"/>
    <cellStyle name="40% - Accent3 9 3" xfId="526" xr:uid="{00000000-0005-0000-0000-000001020000}"/>
    <cellStyle name="40% - Accent4 10" xfId="527" xr:uid="{00000000-0005-0000-0000-000002020000}"/>
    <cellStyle name="40% - Accent4 10 2" xfId="528" xr:uid="{00000000-0005-0000-0000-000003020000}"/>
    <cellStyle name="40% - Accent4 10 2 2" xfId="529" xr:uid="{00000000-0005-0000-0000-000004020000}"/>
    <cellStyle name="40% - Accent4 10 3" xfId="530" xr:uid="{00000000-0005-0000-0000-000005020000}"/>
    <cellStyle name="40% - Accent4 11" xfId="531" xr:uid="{00000000-0005-0000-0000-000006020000}"/>
    <cellStyle name="40% - Accent4 11 2" xfId="532" xr:uid="{00000000-0005-0000-0000-000007020000}"/>
    <cellStyle name="40% - Accent4 11 2 2" xfId="533" xr:uid="{00000000-0005-0000-0000-000008020000}"/>
    <cellStyle name="40% - Accent4 11 3" xfId="534" xr:uid="{00000000-0005-0000-0000-000009020000}"/>
    <cellStyle name="40% - Accent4 12" xfId="535" xr:uid="{00000000-0005-0000-0000-00000A020000}"/>
    <cellStyle name="40% - Accent4 12 2" xfId="536" xr:uid="{00000000-0005-0000-0000-00000B020000}"/>
    <cellStyle name="40% - Accent4 12 2 2" xfId="537" xr:uid="{00000000-0005-0000-0000-00000C020000}"/>
    <cellStyle name="40% - Accent4 12 3" xfId="538" xr:uid="{00000000-0005-0000-0000-00000D020000}"/>
    <cellStyle name="40% - Accent4 13" xfId="539" xr:uid="{00000000-0005-0000-0000-00000E020000}"/>
    <cellStyle name="40% - Accent4 13 2" xfId="540" xr:uid="{00000000-0005-0000-0000-00000F020000}"/>
    <cellStyle name="40% - Accent4 13 2 2" xfId="541" xr:uid="{00000000-0005-0000-0000-000010020000}"/>
    <cellStyle name="40% - Accent4 13 3" xfId="542" xr:uid="{00000000-0005-0000-0000-000011020000}"/>
    <cellStyle name="40% - Accent4 14" xfId="543" xr:uid="{00000000-0005-0000-0000-000012020000}"/>
    <cellStyle name="40% - Accent4 14 2" xfId="544" xr:uid="{00000000-0005-0000-0000-000013020000}"/>
    <cellStyle name="40% - Accent4 14 2 2" xfId="545" xr:uid="{00000000-0005-0000-0000-000014020000}"/>
    <cellStyle name="40% - Accent4 14 3" xfId="546" xr:uid="{00000000-0005-0000-0000-000015020000}"/>
    <cellStyle name="40% - Accent4 15" xfId="547" xr:uid="{00000000-0005-0000-0000-000016020000}"/>
    <cellStyle name="40% - Accent4 15 2" xfId="548" xr:uid="{00000000-0005-0000-0000-000017020000}"/>
    <cellStyle name="40% - Accent4 15 2 2" xfId="549" xr:uid="{00000000-0005-0000-0000-000018020000}"/>
    <cellStyle name="40% - Accent4 15 3" xfId="550" xr:uid="{00000000-0005-0000-0000-000019020000}"/>
    <cellStyle name="40% - Accent4 16" xfId="551" xr:uid="{00000000-0005-0000-0000-00001A020000}"/>
    <cellStyle name="40% - Accent4 2" xfId="552" xr:uid="{00000000-0005-0000-0000-00001B020000}"/>
    <cellStyle name="40% - Accent4 2 2" xfId="553" xr:uid="{00000000-0005-0000-0000-00001C020000}"/>
    <cellStyle name="40% - Accent4 2 2 2" xfId="554" xr:uid="{00000000-0005-0000-0000-00001D020000}"/>
    <cellStyle name="40% - Accent4 2 3" xfId="555" xr:uid="{00000000-0005-0000-0000-00001E020000}"/>
    <cellStyle name="40% - Accent4 3" xfId="556" xr:uid="{00000000-0005-0000-0000-00001F020000}"/>
    <cellStyle name="40% - Accent4 3 2" xfId="557" xr:uid="{00000000-0005-0000-0000-000020020000}"/>
    <cellStyle name="40% - Accent4 3 2 2" xfId="558" xr:uid="{00000000-0005-0000-0000-000021020000}"/>
    <cellStyle name="40% - Accent4 3 3" xfId="559" xr:uid="{00000000-0005-0000-0000-000022020000}"/>
    <cellStyle name="40% - Accent4 4" xfId="560" xr:uid="{00000000-0005-0000-0000-000023020000}"/>
    <cellStyle name="40% - Accent4 4 2" xfId="561" xr:uid="{00000000-0005-0000-0000-000024020000}"/>
    <cellStyle name="40% - Accent4 4 2 2" xfId="562" xr:uid="{00000000-0005-0000-0000-000025020000}"/>
    <cellStyle name="40% - Accent4 4 3" xfId="563" xr:uid="{00000000-0005-0000-0000-000026020000}"/>
    <cellStyle name="40% - Accent4 5" xfId="564" xr:uid="{00000000-0005-0000-0000-000027020000}"/>
    <cellStyle name="40% - Accent4 5 2" xfId="565" xr:uid="{00000000-0005-0000-0000-000028020000}"/>
    <cellStyle name="40% - Accent4 5 2 2" xfId="566" xr:uid="{00000000-0005-0000-0000-000029020000}"/>
    <cellStyle name="40% - Accent4 5 3" xfId="567" xr:uid="{00000000-0005-0000-0000-00002A020000}"/>
    <cellStyle name="40% - Accent4 6" xfId="568" xr:uid="{00000000-0005-0000-0000-00002B020000}"/>
    <cellStyle name="40% - Accent4 6 2" xfId="569" xr:uid="{00000000-0005-0000-0000-00002C020000}"/>
    <cellStyle name="40% - Accent4 6 2 2" xfId="570" xr:uid="{00000000-0005-0000-0000-00002D020000}"/>
    <cellStyle name="40% - Accent4 6 3" xfId="571" xr:uid="{00000000-0005-0000-0000-00002E020000}"/>
    <cellStyle name="40% - Accent4 7" xfId="572" xr:uid="{00000000-0005-0000-0000-00002F020000}"/>
    <cellStyle name="40% - Accent4 7 2" xfId="573" xr:uid="{00000000-0005-0000-0000-000030020000}"/>
    <cellStyle name="40% - Accent4 7 2 2" xfId="574" xr:uid="{00000000-0005-0000-0000-000031020000}"/>
    <cellStyle name="40% - Accent4 7 3" xfId="575" xr:uid="{00000000-0005-0000-0000-000032020000}"/>
    <cellStyle name="40% - Accent4 8" xfId="576" xr:uid="{00000000-0005-0000-0000-000033020000}"/>
    <cellStyle name="40% - Accent4 8 2" xfId="577" xr:uid="{00000000-0005-0000-0000-000034020000}"/>
    <cellStyle name="40% - Accent4 8 2 2" xfId="578" xr:uid="{00000000-0005-0000-0000-000035020000}"/>
    <cellStyle name="40% - Accent4 8 3" xfId="579" xr:uid="{00000000-0005-0000-0000-000036020000}"/>
    <cellStyle name="40% - Accent4 9" xfId="580" xr:uid="{00000000-0005-0000-0000-000037020000}"/>
    <cellStyle name="40% - Accent4 9 2" xfId="581" xr:uid="{00000000-0005-0000-0000-000038020000}"/>
    <cellStyle name="40% - Accent4 9 2 2" xfId="582" xr:uid="{00000000-0005-0000-0000-000039020000}"/>
    <cellStyle name="40% - Accent4 9 3" xfId="583" xr:uid="{00000000-0005-0000-0000-00003A020000}"/>
    <cellStyle name="40% - Accent5 10" xfId="584" xr:uid="{00000000-0005-0000-0000-00003B020000}"/>
    <cellStyle name="40% - Accent5 10 2" xfId="585" xr:uid="{00000000-0005-0000-0000-00003C020000}"/>
    <cellStyle name="40% - Accent5 10 2 2" xfId="586" xr:uid="{00000000-0005-0000-0000-00003D020000}"/>
    <cellStyle name="40% - Accent5 10 3" xfId="587" xr:uid="{00000000-0005-0000-0000-00003E020000}"/>
    <cellStyle name="40% - Accent5 11" xfId="588" xr:uid="{00000000-0005-0000-0000-00003F020000}"/>
    <cellStyle name="40% - Accent5 11 2" xfId="589" xr:uid="{00000000-0005-0000-0000-000040020000}"/>
    <cellStyle name="40% - Accent5 11 2 2" xfId="590" xr:uid="{00000000-0005-0000-0000-000041020000}"/>
    <cellStyle name="40% - Accent5 11 3" xfId="591" xr:uid="{00000000-0005-0000-0000-000042020000}"/>
    <cellStyle name="40% - Accent5 12" xfId="592" xr:uid="{00000000-0005-0000-0000-000043020000}"/>
    <cellStyle name="40% - Accent5 12 2" xfId="593" xr:uid="{00000000-0005-0000-0000-000044020000}"/>
    <cellStyle name="40% - Accent5 12 2 2" xfId="594" xr:uid="{00000000-0005-0000-0000-000045020000}"/>
    <cellStyle name="40% - Accent5 12 3" xfId="595" xr:uid="{00000000-0005-0000-0000-000046020000}"/>
    <cellStyle name="40% - Accent5 13" xfId="596" xr:uid="{00000000-0005-0000-0000-000047020000}"/>
    <cellStyle name="40% - Accent5 13 2" xfId="597" xr:uid="{00000000-0005-0000-0000-000048020000}"/>
    <cellStyle name="40% - Accent5 13 2 2" xfId="598" xr:uid="{00000000-0005-0000-0000-000049020000}"/>
    <cellStyle name="40% - Accent5 13 3" xfId="599" xr:uid="{00000000-0005-0000-0000-00004A020000}"/>
    <cellStyle name="40% - Accent5 14" xfId="600" xr:uid="{00000000-0005-0000-0000-00004B020000}"/>
    <cellStyle name="40% - Accent5 14 2" xfId="601" xr:uid="{00000000-0005-0000-0000-00004C020000}"/>
    <cellStyle name="40% - Accent5 14 2 2" xfId="602" xr:uid="{00000000-0005-0000-0000-00004D020000}"/>
    <cellStyle name="40% - Accent5 14 3" xfId="603" xr:uid="{00000000-0005-0000-0000-00004E020000}"/>
    <cellStyle name="40% - Accent5 15" xfId="604" xr:uid="{00000000-0005-0000-0000-00004F020000}"/>
    <cellStyle name="40% - Accent5 15 2" xfId="605" xr:uid="{00000000-0005-0000-0000-000050020000}"/>
    <cellStyle name="40% - Accent5 15 2 2" xfId="606" xr:uid="{00000000-0005-0000-0000-000051020000}"/>
    <cellStyle name="40% - Accent5 15 3" xfId="607" xr:uid="{00000000-0005-0000-0000-000052020000}"/>
    <cellStyle name="40% - Accent5 16" xfId="608" xr:uid="{00000000-0005-0000-0000-000053020000}"/>
    <cellStyle name="40% - Accent5 2" xfId="609" xr:uid="{00000000-0005-0000-0000-000054020000}"/>
    <cellStyle name="40% - Accent5 2 2" xfId="610" xr:uid="{00000000-0005-0000-0000-000055020000}"/>
    <cellStyle name="40% - Accent5 2 2 2" xfId="611" xr:uid="{00000000-0005-0000-0000-000056020000}"/>
    <cellStyle name="40% - Accent5 2 3" xfId="612" xr:uid="{00000000-0005-0000-0000-000057020000}"/>
    <cellStyle name="40% - Accent5 3" xfId="613" xr:uid="{00000000-0005-0000-0000-000058020000}"/>
    <cellStyle name="40% - Accent5 3 2" xfId="614" xr:uid="{00000000-0005-0000-0000-000059020000}"/>
    <cellStyle name="40% - Accent5 3 2 2" xfId="615" xr:uid="{00000000-0005-0000-0000-00005A020000}"/>
    <cellStyle name="40% - Accent5 3 3" xfId="616" xr:uid="{00000000-0005-0000-0000-00005B020000}"/>
    <cellStyle name="40% - Accent5 4" xfId="617" xr:uid="{00000000-0005-0000-0000-00005C020000}"/>
    <cellStyle name="40% - Accent5 4 2" xfId="618" xr:uid="{00000000-0005-0000-0000-00005D020000}"/>
    <cellStyle name="40% - Accent5 4 2 2" xfId="619" xr:uid="{00000000-0005-0000-0000-00005E020000}"/>
    <cellStyle name="40% - Accent5 4 3" xfId="620" xr:uid="{00000000-0005-0000-0000-00005F020000}"/>
    <cellStyle name="40% - Accent5 5" xfId="621" xr:uid="{00000000-0005-0000-0000-000060020000}"/>
    <cellStyle name="40% - Accent5 5 2" xfId="622" xr:uid="{00000000-0005-0000-0000-000061020000}"/>
    <cellStyle name="40% - Accent5 5 2 2" xfId="623" xr:uid="{00000000-0005-0000-0000-000062020000}"/>
    <cellStyle name="40% - Accent5 5 3" xfId="624" xr:uid="{00000000-0005-0000-0000-000063020000}"/>
    <cellStyle name="40% - Accent5 6" xfId="625" xr:uid="{00000000-0005-0000-0000-000064020000}"/>
    <cellStyle name="40% - Accent5 6 2" xfId="626" xr:uid="{00000000-0005-0000-0000-000065020000}"/>
    <cellStyle name="40% - Accent5 6 2 2" xfId="627" xr:uid="{00000000-0005-0000-0000-000066020000}"/>
    <cellStyle name="40% - Accent5 6 3" xfId="628" xr:uid="{00000000-0005-0000-0000-000067020000}"/>
    <cellStyle name="40% - Accent5 7" xfId="629" xr:uid="{00000000-0005-0000-0000-000068020000}"/>
    <cellStyle name="40% - Accent5 7 2" xfId="630" xr:uid="{00000000-0005-0000-0000-000069020000}"/>
    <cellStyle name="40% - Accent5 7 2 2" xfId="631" xr:uid="{00000000-0005-0000-0000-00006A020000}"/>
    <cellStyle name="40% - Accent5 7 3" xfId="632" xr:uid="{00000000-0005-0000-0000-00006B020000}"/>
    <cellStyle name="40% - Accent5 8" xfId="633" xr:uid="{00000000-0005-0000-0000-00006C020000}"/>
    <cellStyle name="40% - Accent5 8 2" xfId="634" xr:uid="{00000000-0005-0000-0000-00006D020000}"/>
    <cellStyle name="40% - Accent5 8 2 2" xfId="635" xr:uid="{00000000-0005-0000-0000-00006E020000}"/>
    <cellStyle name="40% - Accent5 8 3" xfId="636" xr:uid="{00000000-0005-0000-0000-00006F020000}"/>
    <cellStyle name="40% - Accent5 9" xfId="637" xr:uid="{00000000-0005-0000-0000-000070020000}"/>
    <cellStyle name="40% - Accent5 9 2" xfId="638" xr:uid="{00000000-0005-0000-0000-000071020000}"/>
    <cellStyle name="40% - Accent5 9 2 2" xfId="639" xr:uid="{00000000-0005-0000-0000-000072020000}"/>
    <cellStyle name="40% - Accent5 9 3" xfId="640" xr:uid="{00000000-0005-0000-0000-000073020000}"/>
    <cellStyle name="40% - Accent6 10" xfId="641" xr:uid="{00000000-0005-0000-0000-000074020000}"/>
    <cellStyle name="40% - Accent6 10 2" xfId="642" xr:uid="{00000000-0005-0000-0000-000075020000}"/>
    <cellStyle name="40% - Accent6 10 2 2" xfId="643" xr:uid="{00000000-0005-0000-0000-000076020000}"/>
    <cellStyle name="40% - Accent6 10 3" xfId="644" xr:uid="{00000000-0005-0000-0000-000077020000}"/>
    <cellStyle name="40% - Accent6 11" xfId="645" xr:uid="{00000000-0005-0000-0000-000078020000}"/>
    <cellStyle name="40% - Accent6 11 2" xfId="646" xr:uid="{00000000-0005-0000-0000-000079020000}"/>
    <cellStyle name="40% - Accent6 11 2 2" xfId="647" xr:uid="{00000000-0005-0000-0000-00007A020000}"/>
    <cellStyle name="40% - Accent6 11 3" xfId="648" xr:uid="{00000000-0005-0000-0000-00007B020000}"/>
    <cellStyle name="40% - Accent6 12" xfId="649" xr:uid="{00000000-0005-0000-0000-00007C020000}"/>
    <cellStyle name="40% - Accent6 12 2" xfId="650" xr:uid="{00000000-0005-0000-0000-00007D020000}"/>
    <cellStyle name="40% - Accent6 12 2 2" xfId="651" xr:uid="{00000000-0005-0000-0000-00007E020000}"/>
    <cellStyle name="40% - Accent6 12 3" xfId="652" xr:uid="{00000000-0005-0000-0000-00007F020000}"/>
    <cellStyle name="40% - Accent6 13" xfId="653" xr:uid="{00000000-0005-0000-0000-000080020000}"/>
    <cellStyle name="40% - Accent6 13 2" xfId="654" xr:uid="{00000000-0005-0000-0000-000081020000}"/>
    <cellStyle name="40% - Accent6 13 2 2" xfId="655" xr:uid="{00000000-0005-0000-0000-000082020000}"/>
    <cellStyle name="40% - Accent6 13 3" xfId="656" xr:uid="{00000000-0005-0000-0000-000083020000}"/>
    <cellStyle name="40% - Accent6 14" xfId="657" xr:uid="{00000000-0005-0000-0000-000084020000}"/>
    <cellStyle name="40% - Accent6 14 2" xfId="658" xr:uid="{00000000-0005-0000-0000-000085020000}"/>
    <cellStyle name="40% - Accent6 14 2 2" xfId="659" xr:uid="{00000000-0005-0000-0000-000086020000}"/>
    <cellStyle name="40% - Accent6 14 3" xfId="660" xr:uid="{00000000-0005-0000-0000-000087020000}"/>
    <cellStyle name="40% - Accent6 15" xfId="661" xr:uid="{00000000-0005-0000-0000-000088020000}"/>
    <cellStyle name="40% - Accent6 15 2" xfId="662" xr:uid="{00000000-0005-0000-0000-000089020000}"/>
    <cellStyle name="40% - Accent6 15 2 2" xfId="663" xr:uid="{00000000-0005-0000-0000-00008A020000}"/>
    <cellStyle name="40% - Accent6 15 3" xfId="664" xr:uid="{00000000-0005-0000-0000-00008B020000}"/>
    <cellStyle name="40% - Accent6 16" xfId="665" xr:uid="{00000000-0005-0000-0000-00008C020000}"/>
    <cellStyle name="40% - Accent6 2" xfId="666" xr:uid="{00000000-0005-0000-0000-00008D020000}"/>
    <cellStyle name="40% - Accent6 2 2" xfId="667" xr:uid="{00000000-0005-0000-0000-00008E020000}"/>
    <cellStyle name="40% - Accent6 2 2 2" xfId="668" xr:uid="{00000000-0005-0000-0000-00008F020000}"/>
    <cellStyle name="40% - Accent6 2 3" xfId="669" xr:uid="{00000000-0005-0000-0000-000090020000}"/>
    <cellStyle name="40% - Accent6 3" xfId="670" xr:uid="{00000000-0005-0000-0000-000091020000}"/>
    <cellStyle name="40% - Accent6 3 2" xfId="671" xr:uid="{00000000-0005-0000-0000-000092020000}"/>
    <cellStyle name="40% - Accent6 3 2 2" xfId="672" xr:uid="{00000000-0005-0000-0000-000093020000}"/>
    <cellStyle name="40% - Accent6 3 3" xfId="673" xr:uid="{00000000-0005-0000-0000-000094020000}"/>
    <cellStyle name="40% - Accent6 4" xfId="674" xr:uid="{00000000-0005-0000-0000-000095020000}"/>
    <cellStyle name="40% - Accent6 4 2" xfId="675" xr:uid="{00000000-0005-0000-0000-000096020000}"/>
    <cellStyle name="40% - Accent6 4 2 2" xfId="676" xr:uid="{00000000-0005-0000-0000-000097020000}"/>
    <cellStyle name="40% - Accent6 4 3" xfId="677" xr:uid="{00000000-0005-0000-0000-000098020000}"/>
    <cellStyle name="40% - Accent6 5" xfId="678" xr:uid="{00000000-0005-0000-0000-000099020000}"/>
    <cellStyle name="40% - Accent6 5 2" xfId="679" xr:uid="{00000000-0005-0000-0000-00009A020000}"/>
    <cellStyle name="40% - Accent6 5 2 2" xfId="680" xr:uid="{00000000-0005-0000-0000-00009B020000}"/>
    <cellStyle name="40% - Accent6 5 3" xfId="681" xr:uid="{00000000-0005-0000-0000-00009C020000}"/>
    <cellStyle name="40% - Accent6 6" xfId="682" xr:uid="{00000000-0005-0000-0000-00009D020000}"/>
    <cellStyle name="40% - Accent6 6 2" xfId="683" xr:uid="{00000000-0005-0000-0000-00009E020000}"/>
    <cellStyle name="40% - Accent6 6 2 2" xfId="684" xr:uid="{00000000-0005-0000-0000-00009F020000}"/>
    <cellStyle name="40% - Accent6 6 3" xfId="685" xr:uid="{00000000-0005-0000-0000-0000A0020000}"/>
    <cellStyle name="40% - Accent6 7" xfId="686" xr:uid="{00000000-0005-0000-0000-0000A1020000}"/>
    <cellStyle name="40% - Accent6 7 2" xfId="687" xr:uid="{00000000-0005-0000-0000-0000A2020000}"/>
    <cellStyle name="40% - Accent6 7 2 2" xfId="688" xr:uid="{00000000-0005-0000-0000-0000A3020000}"/>
    <cellStyle name="40% - Accent6 7 3" xfId="689" xr:uid="{00000000-0005-0000-0000-0000A4020000}"/>
    <cellStyle name="40% - Accent6 8" xfId="690" xr:uid="{00000000-0005-0000-0000-0000A5020000}"/>
    <cellStyle name="40% - Accent6 8 2" xfId="691" xr:uid="{00000000-0005-0000-0000-0000A6020000}"/>
    <cellStyle name="40% - Accent6 8 2 2" xfId="692" xr:uid="{00000000-0005-0000-0000-0000A7020000}"/>
    <cellStyle name="40% - Accent6 8 3" xfId="693" xr:uid="{00000000-0005-0000-0000-0000A8020000}"/>
    <cellStyle name="40% - Accent6 9" xfId="694" xr:uid="{00000000-0005-0000-0000-0000A9020000}"/>
    <cellStyle name="40% - Accent6 9 2" xfId="695" xr:uid="{00000000-0005-0000-0000-0000AA020000}"/>
    <cellStyle name="40% - Accent6 9 2 2" xfId="696" xr:uid="{00000000-0005-0000-0000-0000AB020000}"/>
    <cellStyle name="40% - Accent6 9 3" xfId="697" xr:uid="{00000000-0005-0000-0000-0000AC020000}"/>
    <cellStyle name="60% - Accent1 10" xfId="698" xr:uid="{00000000-0005-0000-0000-0000AD020000}"/>
    <cellStyle name="60% - Accent1 11" xfId="699" xr:uid="{00000000-0005-0000-0000-0000AE020000}"/>
    <cellStyle name="60% - Accent1 12" xfId="700" xr:uid="{00000000-0005-0000-0000-0000AF020000}"/>
    <cellStyle name="60% - Accent1 13" xfId="701" xr:uid="{00000000-0005-0000-0000-0000B0020000}"/>
    <cellStyle name="60% - Accent1 14" xfId="702" xr:uid="{00000000-0005-0000-0000-0000B1020000}"/>
    <cellStyle name="60% - Accent1 15" xfId="703" xr:uid="{00000000-0005-0000-0000-0000B2020000}"/>
    <cellStyle name="60% - Accent1 16" xfId="704" xr:uid="{00000000-0005-0000-0000-0000B3020000}"/>
    <cellStyle name="60% - Accent1 2" xfId="705" xr:uid="{00000000-0005-0000-0000-0000B4020000}"/>
    <cellStyle name="60% - Accent1 3" xfId="706" xr:uid="{00000000-0005-0000-0000-0000B5020000}"/>
    <cellStyle name="60% - Accent1 4" xfId="707" xr:uid="{00000000-0005-0000-0000-0000B6020000}"/>
    <cellStyle name="60% - Accent1 5" xfId="708" xr:uid="{00000000-0005-0000-0000-0000B7020000}"/>
    <cellStyle name="60% - Accent1 6" xfId="709" xr:uid="{00000000-0005-0000-0000-0000B8020000}"/>
    <cellStyle name="60% - Accent1 7" xfId="710" xr:uid="{00000000-0005-0000-0000-0000B9020000}"/>
    <cellStyle name="60% - Accent1 8" xfId="711" xr:uid="{00000000-0005-0000-0000-0000BA020000}"/>
    <cellStyle name="60% - Accent1 9" xfId="712" xr:uid="{00000000-0005-0000-0000-0000BB020000}"/>
    <cellStyle name="60% - Accent2 10" xfId="713" xr:uid="{00000000-0005-0000-0000-0000BC020000}"/>
    <cellStyle name="60% - Accent2 11" xfId="714" xr:uid="{00000000-0005-0000-0000-0000BD020000}"/>
    <cellStyle name="60% - Accent2 12" xfId="715" xr:uid="{00000000-0005-0000-0000-0000BE020000}"/>
    <cellStyle name="60% - Accent2 13" xfId="716" xr:uid="{00000000-0005-0000-0000-0000BF020000}"/>
    <cellStyle name="60% - Accent2 14" xfId="717" xr:uid="{00000000-0005-0000-0000-0000C0020000}"/>
    <cellStyle name="60% - Accent2 15" xfId="718" xr:uid="{00000000-0005-0000-0000-0000C1020000}"/>
    <cellStyle name="60% - Accent2 16" xfId="719" xr:uid="{00000000-0005-0000-0000-0000C2020000}"/>
    <cellStyle name="60% - Accent2 2" xfId="720" xr:uid="{00000000-0005-0000-0000-0000C3020000}"/>
    <cellStyle name="60% - Accent2 3" xfId="721" xr:uid="{00000000-0005-0000-0000-0000C4020000}"/>
    <cellStyle name="60% - Accent2 4" xfId="722" xr:uid="{00000000-0005-0000-0000-0000C5020000}"/>
    <cellStyle name="60% - Accent2 5" xfId="723" xr:uid="{00000000-0005-0000-0000-0000C6020000}"/>
    <cellStyle name="60% - Accent2 6" xfId="724" xr:uid="{00000000-0005-0000-0000-0000C7020000}"/>
    <cellStyle name="60% - Accent2 7" xfId="725" xr:uid="{00000000-0005-0000-0000-0000C8020000}"/>
    <cellStyle name="60% - Accent2 8" xfId="726" xr:uid="{00000000-0005-0000-0000-0000C9020000}"/>
    <cellStyle name="60% - Accent2 9" xfId="727" xr:uid="{00000000-0005-0000-0000-0000CA020000}"/>
    <cellStyle name="60% - Accent3 10" xfId="728" xr:uid="{00000000-0005-0000-0000-0000CB020000}"/>
    <cellStyle name="60% - Accent3 11" xfId="729" xr:uid="{00000000-0005-0000-0000-0000CC020000}"/>
    <cellStyle name="60% - Accent3 12" xfId="730" xr:uid="{00000000-0005-0000-0000-0000CD020000}"/>
    <cellStyle name="60% - Accent3 13" xfId="731" xr:uid="{00000000-0005-0000-0000-0000CE020000}"/>
    <cellStyle name="60% - Accent3 14" xfId="732" xr:uid="{00000000-0005-0000-0000-0000CF020000}"/>
    <cellStyle name="60% - Accent3 15" xfId="733" xr:uid="{00000000-0005-0000-0000-0000D0020000}"/>
    <cellStyle name="60% - Accent3 16" xfId="734" xr:uid="{00000000-0005-0000-0000-0000D1020000}"/>
    <cellStyle name="60% - Accent3 2" xfId="735" xr:uid="{00000000-0005-0000-0000-0000D2020000}"/>
    <cellStyle name="60% - Accent3 3" xfId="736" xr:uid="{00000000-0005-0000-0000-0000D3020000}"/>
    <cellStyle name="60% - Accent3 4" xfId="737" xr:uid="{00000000-0005-0000-0000-0000D4020000}"/>
    <cellStyle name="60% - Accent3 5" xfId="738" xr:uid="{00000000-0005-0000-0000-0000D5020000}"/>
    <cellStyle name="60% - Accent3 6" xfId="739" xr:uid="{00000000-0005-0000-0000-0000D6020000}"/>
    <cellStyle name="60% - Accent3 7" xfId="740" xr:uid="{00000000-0005-0000-0000-0000D7020000}"/>
    <cellStyle name="60% - Accent3 8" xfId="741" xr:uid="{00000000-0005-0000-0000-0000D8020000}"/>
    <cellStyle name="60% - Accent3 9" xfId="742" xr:uid="{00000000-0005-0000-0000-0000D9020000}"/>
    <cellStyle name="60% - Accent4 10" xfId="743" xr:uid="{00000000-0005-0000-0000-0000DA020000}"/>
    <cellStyle name="60% - Accent4 11" xfId="744" xr:uid="{00000000-0005-0000-0000-0000DB020000}"/>
    <cellStyle name="60% - Accent4 12" xfId="745" xr:uid="{00000000-0005-0000-0000-0000DC020000}"/>
    <cellStyle name="60% - Accent4 13" xfId="746" xr:uid="{00000000-0005-0000-0000-0000DD020000}"/>
    <cellStyle name="60% - Accent4 14" xfId="747" xr:uid="{00000000-0005-0000-0000-0000DE020000}"/>
    <cellStyle name="60% - Accent4 15" xfId="748" xr:uid="{00000000-0005-0000-0000-0000DF020000}"/>
    <cellStyle name="60% - Accent4 16" xfId="749" xr:uid="{00000000-0005-0000-0000-0000E0020000}"/>
    <cellStyle name="60% - Accent4 2" xfId="750" xr:uid="{00000000-0005-0000-0000-0000E1020000}"/>
    <cellStyle name="60% - Accent4 3" xfId="751" xr:uid="{00000000-0005-0000-0000-0000E2020000}"/>
    <cellStyle name="60% - Accent4 4" xfId="752" xr:uid="{00000000-0005-0000-0000-0000E3020000}"/>
    <cellStyle name="60% - Accent4 5" xfId="753" xr:uid="{00000000-0005-0000-0000-0000E4020000}"/>
    <cellStyle name="60% - Accent4 6" xfId="754" xr:uid="{00000000-0005-0000-0000-0000E5020000}"/>
    <cellStyle name="60% - Accent4 7" xfId="755" xr:uid="{00000000-0005-0000-0000-0000E6020000}"/>
    <cellStyle name="60% - Accent4 8" xfId="756" xr:uid="{00000000-0005-0000-0000-0000E7020000}"/>
    <cellStyle name="60% - Accent4 9" xfId="757" xr:uid="{00000000-0005-0000-0000-0000E8020000}"/>
    <cellStyle name="60% - Accent5 10" xfId="758" xr:uid="{00000000-0005-0000-0000-0000E9020000}"/>
    <cellStyle name="60% - Accent5 11" xfId="759" xr:uid="{00000000-0005-0000-0000-0000EA020000}"/>
    <cellStyle name="60% - Accent5 12" xfId="760" xr:uid="{00000000-0005-0000-0000-0000EB020000}"/>
    <cellStyle name="60% - Accent5 13" xfId="761" xr:uid="{00000000-0005-0000-0000-0000EC020000}"/>
    <cellStyle name="60% - Accent5 14" xfId="762" xr:uid="{00000000-0005-0000-0000-0000ED020000}"/>
    <cellStyle name="60% - Accent5 15" xfId="763" xr:uid="{00000000-0005-0000-0000-0000EE020000}"/>
    <cellStyle name="60% - Accent5 16" xfId="764" xr:uid="{00000000-0005-0000-0000-0000EF020000}"/>
    <cellStyle name="60% - Accent5 2" xfId="765" xr:uid="{00000000-0005-0000-0000-0000F0020000}"/>
    <cellStyle name="60% - Accent5 3" xfId="766" xr:uid="{00000000-0005-0000-0000-0000F1020000}"/>
    <cellStyle name="60% - Accent5 4" xfId="767" xr:uid="{00000000-0005-0000-0000-0000F2020000}"/>
    <cellStyle name="60% - Accent5 5" xfId="768" xr:uid="{00000000-0005-0000-0000-0000F3020000}"/>
    <cellStyle name="60% - Accent5 6" xfId="769" xr:uid="{00000000-0005-0000-0000-0000F4020000}"/>
    <cellStyle name="60% - Accent5 7" xfId="770" xr:uid="{00000000-0005-0000-0000-0000F5020000}"/>
    <cellStyle name="60% - Accent5 8" xfId="771" xr:uid="{00000000-0005-0000-0000-0000F6020000}"/>
    <cellStyle name="60% - Accent5 9" xfId="772" xr:uid="{00000000-0005-0000-0000-0000F7020000}"/>
    <cellStyle name="60% - Accent6 10" xfId="773" xr:uid="{00000000-0005-0000-0000-0000F8020000}"/>
    <cellStyle name="60% - Accent6 11" xfId="774" xr:uid="{00000000-0005-0000-0000-0000F9020000}"/>
    <cellStyle name="60% - Accent6 12" xfId="775" xr:uid="{00000000-0005-0000-0000-0000FA020000}"/>
    <cellStyle name="60% - Accent6 13" xfId="776" xr:uid="{00000000-0005-0000-0000-0000FB020000}"/>
    <cellStyle name="60% - Accent6 14" xfId="777" xr:uid="{00000000-0005-0000-0000-0000FC020000}"/>
    <cellStyle name="60% - Accent6 15" xfId="778" xr:uid="{00000000-0005-0000-0000-0000FD020000}"/>
    <cellStyle name="60% - Accent6 16" xfId="779" xr:uid="{00000000-0005-0000-0000-0000FE020000}"/>
    <cellStyle name="60% - Accent6 2" xfId="780" xr:uid="{00000000-0005-0000-0000-0000FF020000}"/>
    <cellStyle name="60% - Accent6 3" xfId="781" xr:uid="{00000000-0005-0000-0000-000000030000}"/>
    <cellStyle name="60% - Accent6 4" xfId="782" xr:uid="{00000000-0005-0000-0000-000001030000}"/>
    <cellStyle name="60% - Accent6 5" xfId="783" xr:uid="{00000000-0005-0000-0000-000002030000}"/>
    <cellStyle name="60% - Accent6 6" xfId="784" xr:uid="{00000000-0005-0000-0000-000003030000}"/>
    <cellStyle name="60% - Accent6 7" xfId="785" xr:uid="{00000000-0005-0000-0000-000004030000}"/>
    <cellStyle name="60% - Accent6 8" xfId="786" xr:uid="{00000000-0005-0000-0000-000005030000}"/>
    <cellStyle name="60% - Accent6 9" xfId="787" xr:uid="{00000000-0005-0000-0000-000006030000}"/>
    <cellStyle name="Accent1 10" xfId="788" xr:uid="{00000000-0005-0000-0000-000007030000}"/>
    <cellStyle name="Accent1 11" xfId="789" xr:uid="{00000000-0005-0000-0000-000008030000}"/>
    <cellStyle name="Accent1 12" xfId="790" xr:uid="{00000000-0005-0000-0000-000009030000}"/>
    <cellStyle name="Accent1 13" xfId="791" xr:uid="{00000000-0005-0000-0000-00000A030000}"/>
    <cellStyle name="Accent1 14" xfId="792" xr:uid="{00000000-0005-0000-0000-00000B030000}"/>
    <cellStyle name="Accent1 15" xfId="793" xr:uid="{00000000-0005-0000-0000-00000C030000}"/>
    <cellStyle name="Accent1 16" xfId="794" xr:uid="{00000000-0005-0000-0000-00000D030000}"/>
    <cellStyle name="Accent1 2" xfId="795" xr:uid="{00000000-0005-0000-0000-00000E030000}"/>
    <cellStyle name="Accent1 3" xfId="796" xr:uid="{00000000-0005-0000-0000-00000F030000}"/>
    <cellStyle name="Accent1 4" xfId="797" xr:uid="{00000000-0005-0000-0000-000010030000}"/>
    <cellStyle name="Accent1 5" xfId="798" xr:uid="{00000000-0005-0000-0000-000011030000}"/>
    <cellStyle name="Accent1 6" xfId="799" xr:uid="{00000000-0005-0000-0000-000012030000}"/>
    <cellStyle name="Accent1 7" xfId="800" xr:uid="{00000000-0005-0000-0000-000013030000}"/>
    <cellStyle name="Accent1 8" xfId="801" xr:uid="{00000000-0005-0000-0000-000014030000}"/>
    <cellStyle name="Accent1 9" xfId="802" xr:uid="{00000000-0005-0000-0000-000015030000}"/>
    <cellStyle name="Accent2 10" xfId="803" xr:uid="{00000000-0005-0000-0000-000016030000}"/>
    <cellStyle name="Accent2 11" xfId="804" xr:uid="{00000000-0005-0000-0000-000017030000}"/>
    <cellStyle name="Accent2 12" xfId="805" xr:uid="{00000000-0005-0000-0000-000018030000}"/>
    <cellStyle name="Accent2 13" xfId="806" xr:uid="{00000000-0005-0000-0000-000019030000}"/>
    <cellStyle name="Accent2 14" xfId="807" xr:uid="{00000000-0005-0000-0000-00001A030000}"/>
    <cellStyle name="Accent2 15" xfId="808" xr:uid="{00000000-0005-0000-0000-00001B030000}"/>
    <cellStyle name="Accent2 16" xfId="809" xr:uid="{00000000-0005-0000-0000-00001C030000}"/>
    <cellStyle name="Accent2 2" xfId="810" xr:uid="{00000000-0005-0000-0000-00001D030000}"/>
    <cellStyle name="Accent2 3" xfId="811" xr:uid="{00000000-0005-0000-0000-00001E030000}"/>
    <cellStyle name="Accent2 4" xfId="812" xr:uid="{00000000-0005-0000-0000-00001F030000}"/>
    <cellStyle name="Accent2 5" xfId="813" xr:uid="{00000000-0005-0000-0000-000020030000}"/>
    <cellStyle name="Accent2 6" xfId="814" xr:uid="{00000000-0005-0000-0000-000021030000}"/>
    <cellStyle name="Accent2 7" xfId="815" xr:uid="{00000000-0005-0000-0000-000022030000}"/>
    <cellStyle name="Accent2 8" xfId="816" xr:uid="{00000000-0005-0000-0000-000023030000}"/>
    <cellStyle name="Accent2 9" xfId="817" xr:uid="{00000000-0005-0000-0000-000024030000}"/>
    <cellStyle name="Accent3 10" xfId="818" xr:uid="{00000000-0005-0000-0000-000025030000}"/>
    <cellStyle name="Accent3 11" xfId="819" xr:uid="{00000000-0005-0000-0000-000026030000}"/>
    <cellStyle name="Accent3 12" xfId="820" xr:uid="{00000000-0005-0000-0000-000027030000}"/>
    <cellStyle name="Accent3 13" xfId="821" xr:uid="{00000000-0005-0000-0000-000028030000}"/>
    <cellStyle name="Accent3 14" xfId="822" xr:uid="{00000000-0005-0000-0000-000029030000}"/>
    <cellStyle name="Accent3 15" xfId="823" xr:uid="{00000000-0005-0000-0000-00002A030000}"/>
    <cellStyle name="Accent3 16" xfId="824" xr:uid="{00000000-0005-0000-0000-00002B030000}"/>
    <cellStyle name="Accent3 2" xfId="825" xr:uid="{00000000-0005-0000-0000-00002C030000}"/>
    <cellStyle name="Accent3 3" xfId="826" xr:uid="{00000000-0005-0000-0000-00002D030000}"/>
    <cellStyle name="Accent3 4" xfId="827" xr:uid="{00000000-0005-0000-0000-00002E030000}"/>
    <cellStyle name="Accent3 5" xfId="828" xr:uid="{00000000-0005-0000-0000-00002F030000}"/>
    <cellStyle name="Accent3 6" xfId="829" xr:uid="{00000000-0005-0000-0000-000030030000}"/>
    <cellStyle name="Accent3 7" xfId="830" xr:uid="{00000000-0005-0000-0000-000031030000}"/>
    <cellStyle name="Accent3 8" xfId="831" xr:uid="{00000000-0005-0000-0000-000032030000}"/>
    <cellStyle name="Accent3 9" xfId="832" xr:uid="{00000000-0005-0000-0000-000033030000}"/>
    <cellStyle name="Accent4 10" xfId="833" xr:uid="{00000000-0005-0000-0000-000034030000}"/>
    <cellStyle name="Accent4 11" xfId="834" xr:uid="{00000000-0005-0000-0000-000035030000}"/>
    <cellStyle name="Accent4 12" xfId="835" xr:uid="{00000000-0005-0000-0000-000036030000}"/>
    <cellStyle name="Accent4 13" xfId="836" xr:uid="{00000000-0005-0000-0000-000037030000}"/>
    <cellStyle name="Accent4 14" xfId="837" xr:uid="{00000000-0005-0000-0000-000038030000}"/>
    <cellStyle name="Accent4 15" xfId="838" xr:uid="{00000000-0005-0000-0000-000039030000}"/>
    <cellStyle name="Accent4 16" xfId="839" xr:uid="{00000000-0005-0000-0000-00003A030000}"/>
    <cellStyle name="Accent4 2" xfId="840" xr:uid="{00000000-0005-0000-0000-00003B030000}"/>
    <cellStyle name="Accent4 3" xfId="841" xr:uid="{00000000-0005-0000-0000-00003C030000}"/>
    <cellStyle name="Accent4 4" xfId="842" xr:uid="{00000000-0005-0000-0000-00003D030000}"/>
    <cellStyle name="Accent4 5" xfId="843" xr:uid="{00000000-0005-0000-0000-00003E030000}"/>
    <cellStyle name="Accent4 6" xfId="844" xr:uid="{00000000-0005-0000-0000-00003F030000}"/>
    <cellStyle name="Accent4 7" xfId="845" xr:uid="{00000000-0005-0000-0000-000040030000}"/>
    <cellStyle name="Accent4 8" xfId="846" xr:uid="{00000000-0005-0000-0000-000041030000}"/>
    <cellStyle name="Accent4 9" xfId="847" xr:uid="{00000000-0005-0000-0000-000042030000}"/>
    <cellStyle name="Accent5 10" xfId="848" xr:uid="{00000000-0005-0000-0000-000043030000}"/>
    <cellStyle name="Accent5 11" xfId="849" xr:uid="{00000000-0005-0000-0000-000044030000}"/>
    <cellStyle name="Accent5 12" xfId="850" xr:uid="{00000000-0005-0000-0000-000045030000}"/>
    <cellStyle name="Accent5 13" xfId="851" xr:uid="{00000000-0005-0000-0000-000046030000}"/>
    <cellStyle name="Accent5 14" xfId="852" xr:uid="{00000000-0005-0000-0000-000047030000}"/>
    <cellStyle name="Accent5 15" xfId="853" xr:uid="{00000000-0005-0000-0000-000048030000}"/>
    <cellStyle name="Accent5 16" xfId="854" xr:uid="{00000000-0005-0000-0000-000049030000}"/>
    <cellStyle name="Accent5 2" xfId="855" xr:uid="{00000000-0005-0000-0000-00004A030000}"/>
    <cellStyle name="Accent5 3" xfId="856" xr:uid="{00000000-0005-0000-0000-00004B030000}"/>
    <cellStyle name="Accent5 4" xfId="857" xr:uid="{00000000-0005-0000-0000-00004C030000}"/>
    <cellStyle name="Accent5 5" xfId="858" xr:uid="{00000000-0005-0000-0000-00004D030000}"/>
    <cellStyle name="Accent5 6" xfId="859" xr:uid="{00000000-0005-0000-0000-00004E030000}"/>
    <cellStyle name="Accent5 7" xfId="860" xr:uid="{00000000-0005-0000-0000-00004F030000}"/>
    <cellStyle name="Accent5 8" xfId="861" xr:uid="{00000000-0005-0000-0000-000050030000}"/>
    <cellStyle name="Accent5 9" xfId="862" xr:uid="{00000000-0005-0000-0000-000051030000}"/>
    <cellStyle name="Accent6 10" xfId="863" xr:uid="{00000000-0005-0000-0000-000052030000}"/>
    <cellStyle name="Accent6 11" xfId="864" xr:uid="{00000000-0005-0000-0000-000053030000}"/>
    <cellStyle name="Accent6 12" xfId="865" xr:uid="{00000000-0005-0000-0000-000054030000}"/>
    <cellStyle name="Accent6 13" xfId="866" xr:uid="{00000000-0005-0000-0000-000055030000}"/>
    <cellStyle name="Accent6 14" xfId="867" xr:uid="{00000000-0005-0000-0000-000056030000}"/>
    <cellStyle name="Accent6 15" xfId="868" xr:uid="{00000000-0005-0000-0000-000057030000}"/>
    <cellStyle name="Accent6 16" xfId="869" xr:uid="{00000000-0005-0000-0000-000058030000}"/>
    <cellStyle name="Accent6 2" xfId="870" xr:uid="{00000000-0005-0000-0000-000059030000}"/>
    <cellStyle name="Accent6 3" xfId="871" xr:uid="{00000000-0005-0000-0000-00005A030000}"/>
    <cellStyle name="Accent6 4" xfId="872" xr:uid="{00000000-0005-0000-0000-00005B030000}"/>
    <cellStyle name="Accent6 5" xfId="873" xr:uid="{00000000-0005-0000-0000-00005C030000}"/>
    <cellStyle name="Accent6 6" xfId="874" xr:uid="{00000000-0005-0000-0000-00005D030000}"/>
    <cellStyle name="Accent6 7" xfId="875" xr:uid="{00000000-0005-0000-0000-00005E030000}"/>
    <cellStyle name="Accent6 8" xfId="876" xr:uid="{00000000-0005-0000-0000-00005F030000}"/>
    <cellStyle name="Accent6 9" xfId="877" xr:uid="{00000000-0005-0000-0000-000060030000}"/>
    <cellStyle name="Bad 10" xfId="878" xr:uid="{00000000-0005-0000-0000-000061030000}"/>
    <cellStyle name="Bad 11" xfId="879" xr:uid="{00000000-0005-0000-0000-000062030000}"/>
    <cellStyle name="Bad 12" xfId="880" xr:uid="{00000000-0005-0000-0000-000063030000}"/>
    <cellStyle name="Bad 13" xfId="881" xr:uid="{00000000-0005-0000-0000-000064030000}"/>
    <cellStyle name="Bad 14" xfId="882" xr:uid="{00000000-0005-0000-0000-000065030000}"/>
    <cellStyle name="Bad 15" xfId="883" xr:uid="{00000000-0005-0000-0000-000066030000}"/>
    <cellStyle name="Bad 16" xfId="884" xr:uid="{00000000-0005-0000-0000-000067030000}"/>
    <cellStyle name="Bad 2" xfId="885" xr:uid="{00000000-0005-0000-0000-000068030000}"/>
    <cellStyle name="Bad 3" xfId="886" xr:uid="{00000000-0005-0000-0000-000069030000}"/>
    <cellStyle name="Bad 4" xfId="887" xr:uid="{00000000-0005-0000-0000-00006A030000}"/>
    <cellStyle name="Bad 5" xfId="888" xr:uid="{00000000-0005-0000-0000-00006B030000}"/>
    <cellStyle name="Bad 6" xfId="889" xr:uid="{00000000-0005-0000-0000-00006C030000}"/>
    <cellStyle name="Bad 7" xfId="890" xr:uid="{00000000-0005-0000-0000-00006D030000}"/>
    <cellStyle name="Bad 8" xfId="891" xr:uid="{00000000-0005-0000-0000-00006E030000}"/>
    <cellStyle name="Bad 9" xfId="892" xr:uid="{00000000-0005-0000-0000-00006F030000}"/>
    <cellStyle name="Calculation 10" xfId="893" xr:uid="{00000000-0005-0000-0000-000070030000}"/>
    <cellStyle name="Calculation 11" xfId="894" xr:uid="{00000000-0005-0000-0000-000071030000}"/>
    <cellStyle name="Calculation 12" xfId="895" xr:uid="{00000000-0005-0000-0000-000072030000}"/>
    <cellStyle name="Calculation 13" xfId="896" xr:uid="{00000000-0005-0000-0000-000073030000}"/>
    <cellStyle name="Calculation 14" xfId="897" xr:uid="{00000000-0005-0000-0000-000074030000}"/>
    <cellStyle name="Calculation 15" xfId="898" xr:uid="{00000000-0005-0000-0000-000075030000}"/>
    <cellStyle name="Calculation 16" xfId="899" xr:uid="{00000000-0005-0000-0000-000076030000}"/>
    <cellStyle name="Calculation 2" xfId="900" xr:uid="{00000000-0005-0000-0000-000077030000}"/>
    <cellStyle name="Calculation 3" xfId="901" xr:uid="{00000000-0005-0000-0000-000078030000}"/>
    <cellStyle name="Calculation 4" xfId="902" xr:uid="{00000000-0005-0000-0000-000079030000}"/>
    <cellStyle name="Calculation 5" xfId="903" xr:uid="{00000000-0005-0000-0000-00007A030000}"/>
    <cellStyle name="Calculation 6" xfId="904" xr:uid="{00000000-0005-0000-0000-00007B030000}"/>
    <cellStyle name="Calculation 7" xfId="905" xr:uid="{00000000-0005-0000-0000-00007C030000}"/>
    <cellStyle name="Calculation 8" xfId="906" xr:uid="{00000000-0005-0000-0000-00007D030000}"/>
    <cellStyle name="Calculation 9" xfId="907" xr:uid="{00000000-0005-0000-0000-00007E030000}"/>
    <cellStyle name="Check Cell 10" xfId="908" xr:uid="{00000000-0005-0000-0000-00007F030000}"/>
    <cellStyle name="Check Cell 11" xfId="909" xr:uid="{00000000-0005-0000-0000-000080030000}"/>
    <cellStyle name="Check Cell 12" xfId="910" xr:uid="{00000000-0005-0000-0000-000081030000}"/>
    <cellStyle name="Check Cell 13" xfId="911" xr:uid="{00000000-0005-0000-0000-000082030000}"/>
    <cellStyle name="Check Cell 14" xfId="912" xr:uid="{00000000-0005-0000-0000-000083030000}"/>
    <cellStyle name="Check Cell 15" xfId="913" xr:uid="{00000000-0005-0000-0000-000084030000}"/>
    <cellStyle name="Check Cell 16" xfId="914" xr:uid="{00000000-0005-0000-0000-000085030000}"/>
    <cellStyle name="Check Cell 2" xfId="915" xr:uid="{00000000-0005-0000-0000-000086030000}"/>
    <cellStyle name="Check Cell 3" xfId="916" xr:uid="{00000000-0005-0000-0000-000087030000}"/>
    <cellStyle name="Check Cell 4" xfId="917" xr:uid="{00000000-0005-0000-0000-000088030000}"/>
    <cellStyle name="Check Cell 5" xfId="918" xr:uid="{00000000-0005-0000-0000-000089030000}"/>
    <cellStyle name="Check Cell 6" xfId="919" xr:uid="{00000000-0005-0000-0000-00008A030000}"/>
    <cellStyle name="Check Cell 7" xfId="920" xr:uid="{00000000-0005-0000-0000-00008B030000}"/>
    <cellStyle name="Check Cell 8" xfId="921" xr:uid="{00000000-0005-0000-0000-00008C030000}"/>
    <cellStyle name="Check Cell 9" xfId="922" xr:uid="{00000000-0005-0000-0000-00008D030000}"/>
    <cellStyle name="Comma [0] 2" xfId="923" xr:uid="{00000000-0005-0000-0000-00008E030000}"/>
    <cellStyle name="Comma 2" xfId="924" xr:uid="{00000000-0005-0000-0000-00008F030000}"/>
    <cellStyle name="Comma 2 2" xfId="925" xr:uid="{00000000-0005-0000-0000-000090030000}"/>
    <cellStyle name="Comma 2 3" xfId="926" xr:uid="{00000000-0005-0000-0000-000091030000}"/>
    <cellStyle name="Comma 2 4" xfId="927" xr:uid="{00000000-0005-0000-0000-000092030000}"/>
    <cellStyle name="Comma 2 4 2" xfId="928" xr:uid="{00000000-0005-0000-0000-000093030000}"/>
    <cellStyle name="Comma 2 5" xfId="929" xr:uid="{00000000-0005-0000-0000-000094030000}"/>
    <cellStyle name="Comma 2 5 2" xfId="930" xr:uid="{00000000-0005-0000-0000-000095030000}"/>
    <cellStyle name="Comma 2 6" xfId="931" xr:uid="{00000000-0005-0000-0000-000096030000}"/>
    <cellStyle name="Comma 2 7" xfId="932" xr:uid="{00000000-0005-0000-0000-000097030000}"/>
    <cellStyle name="Comma 3" xfId="933" xr:uid="{00000000-0005-0000-0000-000098030000}"/>
    <cellStyle name="Comma 3 2" xfId="934" xr:uid="{00000000-0005-0000-0000-000099030000}"/>
    <cellStyle name="Comma 4" xfId="9" xr:uid="{00000000-0005-0000-0000-00009A030000}"/>
    <cellStyle name="Comma 4 2" xfId="936" xr:uid="{00000000-0005-0000-0000-00009B030000}"/>
    <cellStyle name="Comma 4 3" xfId="935" xr:uid="{00000000-0005-0000-0000-00009C030000}"/>
    <cellStyle name="Comma 5" xfId="1465" xr:uid="{00000000-0005-0000-0000-00009D030000}"/>
    <cellStyle name="Comma 6" xfId="1459" xr:uid="{00000000-0005-0000-0000-00009E030000}"/>
    <cellStyle name="Currency 2" xfId="1464" xr:uid="{00000000-0005-0000-0000-00009F030000}"/>
    <cellStyle name="Currency 3" xfId="1463" xr:uid="{00000000-0005-0000-0000-0000A0030000}"/>
    <cellStyle name="Currency 4" xfId="1460" xr:uid="{00000000-0005-0000-0000-0000A1030000}"/>
    <cellStyle name="Explanatory Text 10" xfId="937" xr:uid="{00000000-0005-0000-0000-0000A2030000}"/>
    <cellStyle name="Explanatory Text 11" xfId="938" xr:uid="{00000000-0005-0000-0000-0000A3030000}"/>
    <cellStyle name="Explanatory Text 12" xfId="939" xr:uid="{00000000-0005-0000-0000-0000A4030000}"/>
    <cellStyle name="Explanatory Text 13" xfId="940" xr:uid="{00000000-0005-0000-0000-0000A5030000}"/>
    <cellStyle name="Explanatory Text 14" xfId="941" xr:uid="{00000000-0005-0000-0000-0000A6030000}"/>
    <cellStyle name="Explanatory Text 15" xfId="942" xr:uid="{00000000-0005-0000-0000-0000A7030000}"/>
    <cellStyle name="Explanatory Text 16" xfId="943" xr:uid="{00000000-0005-0000-0000-0000A8030000}"/>
    <cellStyle name="Explanatory Text 2" xfId="944" xr:uid="{00000000-0005-0000-0000-0000A9030000}"/>
    <cellStyle name="Explanatory Text 3" xfId="945" xr:uid="{00000000-0005-0000-0000-0000AA030000}"/>
    <cellStyle name="Explanatory Text 4" xfId="946" xr:uid="{00000000-0005-0000-0000-0000AB030000}"/>
    <cellStyle name="Explanatory Text 5" xfId="947" xr:uid="{00000000-0005-0000-0000-0000AC030000}"/>
    <cellStyle name="Explanatory Text 6" xfId="948" xr:uid="{00000000-0005-0000-0000-0000AD030000}"/>
    <cellStyle name="Explanatory Text 7" xfId="949" xr:uid="{00000000-0005-0000-0000-0000AE030000}"/>
    <cellStyle name="Explanatory Text 8" xfId="950" xr:uid="{00000000-0005-0000-0000-0000AF030000}"/>
    <cellStyle name="Explanatory Text 9" xfId="951" xr:uid="{00000000-0005-0000-0000-0000B0030000}"/>
    <cellStyle name="Good 10" xfId="952" xr:uid="{00000000-0005-0000-0000-0000B1030000}"/>
    <cellStyle name="Good 11" xfId="953" xr:uid="{00000000-0005-0000-0000-0000B2030000}"/>
    <cellStyle name="Good 12" xfId="954" xr:uid="{00000000-0005-0000-0000-0000B3030000}"/>
    <cellStyle name="Good 13" xfId="955" xr:uid="{00000000-0005-0000-0000-0000B4030000}"/>
    <cellStyle name="Good 14" xfId="956" xr:uid="{00000000-0005-0000-0000-0000B5030000}"/>
    <cellStyle name="Good 15" xfId="957" xr:uid="{00000000-0005-0000-0000-0000B6030000}"/>
    <cellStyle name="Good 16" xfId="958" xr:uid="{00000000-0005-0000-0000-0000B7030000}"/>
    <cellStyle name="Good 2" xfId="959" xr:uid="{00000000-0005-0000-0000-0000B8030000}"/>
    <cellStyle name="Good 3" xfId="960" xr:uid="{00000000-0005-0000-0000-0000B9030000}"/>
    <cellStyle name="Good 4" xfId="961" xr:uid="{00000000-0005-0000-0000-0000BA030000}"/>
    <cellStyle name="Good 5" xfId="962" xr:uid="{00000000-0005-0000-0000-0000BB030000}"/>
    <cellStyle name="Good 6" xfId="963" xr:uid="{00000000-0005-0000-0000-0000BC030000}"/>
    <cellStyle name="Good 7" xfId="964" xr:uid="{00000000-0005-0000-0000-0000BD030000}"/>
    <cellStyle name="Good 8" xfId="965" xr:uid="{00000000-0005-0000-0000-0000BE030000}"/>
    <cellStyle name="Good 9" xfId="966" xr:uid="{00000000-0005-0000-0000-0000BF030000}"/>
    <cellStyle name="Heading 1 10" xfId="967" xr:uid="{00000000-0005-0000-0000-0000C0030000}"/>
    <cellStyle name="Heading 1 11" xfId="968" xr:uid="{00000000-0005-0000-0000-0000C1030000}"/>
    <cellStyle name="Heading 1 12" xfId="969" xr:uid="{00000000-0005-0000-0000-0000C2030000}"/>
    <cellStyle name="Heading 1 13" xfId="970" xr:uid="{00000000-0005-0000-0000-0000C3030000}"/>
    <cellStyle name="Heading 1 14" xfId="971" xr:uid="{00000000-0005-0000-0000-0000C4030000}"/>
    <cellStyle name="Heading 1 15" xfId="972" xr:uid="{00000000-0005-0000-0000-0000C5030000}"/>
    <cellStyle name="Heading 1 16" xfId="973" xr:uid="{00000000-0005-0000-0000-0000C6030000}"/>
    <cellStyle name="Heading 1 2" xfId="974" xr:uid="{00000000-0005-0000-0000-0000C7030000}"/>
    <cellStyle name="Heading 1 3" xfId="975" xr:uid="{00000000-0005-0000-0000-0000C8030000}"/>
    <cellStyle name="Heading 1 4" xfId="976" xr:uid="{00000000-0005-0000-0000-0000C9030000}"/>
    <cellStyle name="Heading 1 5" xfId="977" xr:uid="{00000000-0005-0000-0000-0000CA030000}"/>
    <cellStyle name="Heading 1 6" xfId="978" xr:uid="{00000000-0005-0000-0000-0000CB030000}"/>
    <cellStyle name="Heading 1 7" xfId="979" xr:uid="{00000000-0005-0000-0000-0000CC030000}"/>
    <cellStyle name="Heading 1 8" xfId="980" xr:uid="{00000000-0005-0000-0000-0000CD030000}"/>
    <cellStyle name="Heading 1 9" xfId="981" xr:uid="{00000000-0005-0000-0000-0000CE030000}"/>
    <cellStyle name="Heading 2 10" xfId="982" xr:uid="{00000000-0005-0000-0000-0000CF030000}"/>
    <cellStyle name="Heading 2 11" xfId="983" xr:uid="{00000000-0005-0000-0000-0000D0030000}"/>
    <cellStyle name="Heading 2 12" xfId="984" xr:uid="{00000000-0005-0000-0000-0000D1030000}"/>
    <cellStyle name="Heading 2 13" xfId="985" xr:uid="{00000000-0005-0000-0000-0000D2030000}"/>
    <cellStyle name="Heading 2 14" xfId="986" xr:uid="{00000000-0005-0000-0000-0000D3030000}"/>
    <cellStyle name="Heading 2 15" xfId="987" xr:uid="{00000000-0005-0000-0000-0000D4030000}"/>
    <cellStyle name="Heading 2 16" xfId="988" xr:uid="{00000000-0005-0000-0000-0000D5030000}"/>
    <cellStyle name="Heading 2 2" xfId="989" xr:uid="{00000000-0005-0000-0000-0000D6030000}"/>
    <cellStyle name="Heading 2 3" xfId="990" xr:uid="{00000000-0005-0000-0000-0000D7030000}"/>
    <cellStyle name="Heading 2 4" xfId="991" xr:uid="{00000000-0005-0000-0000-0000D8030000}"/>
    <cellStyle name="Heading 2 5" xfId="992" xr:uid="{00000000-0005-0000-0000-0000D9030000}"/>
    <cellStyle name="Heading 2 6" xfId="993" xr:uid="{00000000-0005-0000-0000-0000DA030000}"/>
    <cellStyle name="Heading 2 7" xfId="994" xr:uid="{00000000-0005-0000-0000-0000DB030000}"/>
    <cellStyle name="Heading 2 8" xfId="995" xr:uid="{00000000-0005-0000-0000-0000DC030000}"/>
    <cellStyle name="Heading 2 9" xfId="996" xr:uid="{00000000-0005-0000-0000-0000DD030000}"/>
    <cellStyle name="Heading 3 10" xfId="997" xr:uid="{00000000-0005-0000-0000-0000DE030000}"/>
    <cellStyle name="Heading 3 11" xfId="998" xr:uid="{00000000-0005-0000-0000-0000DF030000}"/>
    <cellStyle name="Heading 3 12" xfId="999" xr:uid="{00000000-0005-0000-0000-0000E0030000}"/>
    <cellStyle name="Heading 3 13" xfId="1000" xr:uid="{00000000-0005-0000-0000-0000E1030000}"/>
    <cellStyle name="Heading 3 14" xfId="1001" xr:uid="{00000000-0005-0000-0000-0000E2030000}"/>
    <cellStyle name="Heading 3 15" xfId="1002" xr:uid="{00000000-0005-0000-0000-0000E3030000}"/>
    <cellStyle name="Heading 3 16" xfId="1003" xr:uid="{00000000-0005-0000-0000-0000E4030000}"/>
    <cellStyle name="Heading 3 2" xfId="1004" xr:uid="{00000000-0005-0000-0000-0000E5030000}"/>
    <cellStyle name="Heading 3 3" xfId="1005" xr:uid="{00000000-0005-0000-0000-0000E6030000}"/>
    <cellStyle name="Heading 3 4" xfId="1006" xr:uid="{00000000-0005-0000-0000-0000E7030000}"/>
    <cellStyle name="Heading 3 5" xfId="1007" xr:uid="{00000000-0005-0000-0000-0000E8030000}"/>
    <cellStyle name="Heading 3 6" xfId="1008" xr:uid="{00000000-0005-0000-0000-0000E9030000}"/>
    <cellStyle name="Heading 3 7" xfId="1009" xr:uid="{00000000-0005-0000-0000-0000EA030000}"/>
    <cellStyle name="Heading 3 8" xfId="1010" xr:uid="{00000000-0005-0000-0000-0000EB030000}"/>
    <cellStyle name="Heading 3 9" xfId="1011" xr:uid="{00000000-0005-0000-0000-0000EC030000}"/>
    <cellStyle name="Heading 4 10" xfId="1012" xr:uid="{00000000-0005-0000-0000-0000ED030000}"/>
    <cellStyle name="Heading 4 11" xfId="1013" xr:uid="{00000000-0005-0000-0000-0000EE030000}"/>
    <cellStyle name="Heading 4 12" xfId="1014" xr:uid="{00000000-0005-0000-0000-0000EF030000}"/>
    <cellStyle name="Heading 4 13" xfId="1015" xr:uid="{00000000-0005-0000-0000-0000F0030000}"/>
    <cellStyle name="Heading 4 14" xfId="1016" xr:uid="{00000000-0005-0000-0000-0000F1030000}"/>
    <cellStyle name="Heading 4 15" xfId="1017" xr:uid="{00000000-0005-0000-0000-0000F2030000}"/>
    <cellStyle name="Heading 4 16" xfId="1018" xr:uid="{00000000-0005-0000-0000-0000F3030000}"/>
    <cellStyle name="Heading 4 2" xfId="1019" xr:uid="{00000000-0005-0000-0000-0000F4030000}"/>
    <cellStyle name="Heading 4 3" xfId="1020" xr:uid="{00000000-0005-0000-0000-0000F5030000}"/>
    <cellStyle name="Heading 4 4" xfId="1021" xr:uid="{00000000-0005-0000-0000-0000F6030000}"/>
    <cellStyle name="Heading 4 5" xfId="1022" xr:uid="{00000000-0005-0000-0000-0000F7030000}"/>
    <cellStyle name="Heading 4 6" xfId="1023" xr:uid="{00000000-0005-0000-0000-0000F8030000}"/>
    <cellStyle name="Heading 4 7" xfId="1024" xr:uid="{00000000-0005-0000-0000-0000F9030000}"/>
    <cellStyle name="Heading 4 8" xfId="1025" xr:uid="{00000000-0005-0000-0000-0000FA030000}"/>
    <cellStyle name="Heading 4 9" xfId="1026" xr:uid="{00000000-0005-0000-0000-0000FB030000}"/>
    <cellStyle name="Hyperlink 2" xfId="1027" xr:uid="{00000000-0005-0000-0000-0000FC030000}"/>
    <cellStyle name="Hyperlink 3" xfId="1028" xr:uid="{00000000-0005-0000-0000-0000FD030000}"/>
    <cellStyle name="Input 10" xfId="1029" xr:uid="{00000000-0005-0000-0000-0000FE030000}"/>
    <cellStyle name="Input 11" xfId="1030" xr:uid="{00000000-0005-0000-0000-0000FF030000}"/>
    <cellStyle name="Input 12" xfId="1031" xr:uid="{00000000-0005-0000-0000-000000040000}"/>
    <cellStyle name="Input 13" xfId="1032" xr:uid="{00000000-0005-0000-0000-000001040000}"/>
    <cellStyle name="Input 14" xfId="1033" xr:uid="{00000000-0005-0000-0000-000002040000}"/>
    <cellStyle name="Input 15" xfId="1034" xr:uid="{00000000-0005-0000-0000-000003040000}"/>
    <cellStyle name="Input 16" xfId="1035" xr:uid="{00000000-0005-0000-0000-000004040000}"/>
    <cellStyle name="Input 2" xfId="1036" xr:uid="{00000000-0005-0000-0000-000005040000}"/>
    <cellStyle name="Input 3" xfId="1037" xr:uid="{00000000-0005-0000-0000-000006040000}"/>
    <cellStyle name="Input 4" xfId="1038" xr:uid="{00000000-0005-0000-0000-000007040000}"/>
    <cellStyle name="Input 5" xfId="1039" xr:uid="{00000000-0005-0000-0000-000008040000}"/>
    <cellStyle name="Input 6" xfId="1040" xr:uid="{00000000-0005-0000-0000-000009040000}"/>
    <cellStyle name="Input 7" xfId="1041" xr:uid="{00000000-0005-0000-0000-00000A040000}"/>
    <cellStyle name="Input 8" xfId="1042" xr:uid="{00000000-0005-0000-0000-00000B040000}"/>
    <cellStyle name="Input 9" xfId="1043" xr:uid="{00000000-0005-0000-0000-00000C040000}"/>
    <cellStyle name="Linked Cell 10" xfId="1044" xr:uid="{00000000-0005-0000-0000-00000D040000}"/>
    <cellStyle name="Linked Cell 11" xfId="1045" xr:uid="{00000000-0005-0000-0000-00000E040000}"/>
    <cellStyle name="Linked Cell 12" xfId="1046" xr:uid="{00000000-0005-0000-0000-00000F040000}"/>
    <cellStyle name="Linked Cell 13" xfId="1047" xr:uid="{00000000-0005-0000-0000-000010040000}"/>
    <cellStyle name="Linked Cell 14" xfId="1048" xr:uid="{00000000-0005-0000-0000-000011040000}"/>
    <cellStyle name="Linked Cell 15" xfId="1049" xr:uid="{00000000-0005-0000-0000-000012040000}"/>
    <cellStyle name="Linked Cell 16" xfId="1050" xr:uid="{00000000-0005-0000-0000-000013040000}"/>
    <cellStyle name="Linked Cell 2" xfId="1051" xr:uid="{00000000-0005-0000-0000-000014040000}"/>
    <cellStyle name="Linked Cell 3" xfId="1052" xr:uid="{00000000-0005-0000-0000-000015040000}"/>
    <cellStyle name="Linked Cell 4" xfId="1053" xr:uid="{00000000-0005-0000-0000-000016040000}"/>
    <cellStyle name="Linked Cell 5" xfId="1054" xr:uid="{00000000-0005-0000-0000-000017040000}"/>
    <cellStyle name="Linked Cell 6" xfId="1055" xr:uid="{00000000-0005-0000-0000-000018040000}"/>
    <cellStyle name="Linked Cell 7" xfId="1056" xr:uid="{00000000-0005-0000-0000-000019040000}"/>
    <cellStyle name="Linked Cell 8" xfId="1057" xr:uid="{00000000-0005-0000-0000-00001A040000}"/>
    <cellStyle name="Linked Cell 9" xfId="1058" xr:uid="{00000000-0005-0000-0000-00001B040000}"/>
    <cellStyle name="Neutral 10" xfId="1059" xr:uid="{00000000-0005-0000-0000-00001C040000}"/>
    <cellStyle name="Neutral 11" xfId="1060" xr:uid="{00000000-0005-0000-0000-00001D040000}"/>
    <cellStyle name="Neutral 12" xfId="1061" xr:uid="{00000000-0005-0000-0000-00001E040000}"/>
    <cellStyle name="Neutral 13" xfId="1062" xr:uid="{00000000-0005-0000-0000-00001F040000}"/>
    <cellStyle name="Neutral 14" xfId="1063" xr:uid="{00000000-0005-0000-0000-000020040000}"/>
    <cellStyle name="Neutral 15" xfId="1064" xr:uid="{00000000-0005-0000-0000-000021040000}"/>
    <cellStyle name="Neutral 16" xfId="1065" xr:uid="{00000000-0005-0000-0000-000022040000}"/>
    <cellStyle name="Neutral 2" xfId="1066" xr:uid="{00000000-0005-0000-0000-000023040000}"/>
    <cellStyle name="Neutral 3" xfId="1067" xr:uid="{00000000-0005-0000-0000-000024040000}"/>
    <cellStyle name="Neutral 4" xfId="1068" xr:uid="{00000000-0005-0000-0000-000025040000}"/>
    <cellStyle name="Neutral 5" xfId="1069" xr:uid="{00000000-0005-0000-0000-000026040000}"/>
    <cellStyle name="Neutral 6" xfId="1070" xr:uid="{00000000-0005-0000-0000-000027040000}"/>
    <cellStyle name="Neutral 7" xfId="1071" xr:uid="{00000000-0005-0000-0000-000028040000}"/>
    <cellStyle name="Neutral 8" xfId="1072" xr:uid="{00000000-0005-0000-0000-000029040000}"/>
    <cellStyle name="Neutral 9" xfId="1073" xr:uid="{00000000-0005-0000-0000-00002A040000}"/>
    <cellStyle name="Normal 10" xfId="1074" xr:uid="{00000000-0005-0000-0000-00002B040000}"/>
    <cellStyle name="Normal 10 2" xfId="1" xr:uid="{00000000-0005-0000-0000-00002C040000}"/>
    <cellStyle name="Normal 10 2 2" xfId="1075" xr:uid="{00000000-0005-0000-0000-00002D040000}"/>
    <cellStyle name="Normal 10 3" xfId="1076" xr:uid="{00000000-0005-0000-0000-00002E040000}"/>
    <cellStyle name="Normal 10 4" xfId="1077" xr:uid="{00000000-0005-0000-0000-00002F040000}"/>
    <cellStyle name="Normal 10 5" xfId="1078" xr:uid="{00000000-0005-0000-0000-000030040000}"/>
    <cellStyle name="Normal 10 5 2" xfId="1079" xr:uid="{00000000-0005-0000-0000-000031040000}"/>
    <cellStyle name="Normal 10 5 2 2" xfId="1080" xr:uid="{00000000-0005-0000-0000-000032040000}"/>
    <cellStyle name="Normal 10 5 3" xfId="1081" xr:uid="{00000000-0005-0000-0000-000033040000}"/>
    <cellStyle name="Normal 10 6" xfId="1082" xr:uid="{00000000-0005-0000-0000-000034040000}"/>
    <cellStyle name="Normal 10 6 2" xfId="1083" xr:uid="{00000000-0005-0000-0000-000035040000}"/>
    <cellStyle name="Normal 10 7" xfId="1084" xr:uid="{00000000-0005-0000-0000-000036040000}"/>
    <cellStyle name="Normal 11" xfId="1085" xr:uid="{00000000-0005-0000-0000-000037040000}"/>
    <cellStyle name="Normal 12" xfId="1086" xr:uid="{00000000-0005-0000-0000-000038040000}"/>
    <cellStyle name="Normal 12 2" xfId="1087" xr:uid="{00000000-0005-0000-0000-000039040000}"/>
    <cellStyle name="Normal 12 2 2" xfId="1088" xr:uid="{00000000-0005-0000-0000-00003A040000}"/>
    <cellStyle name="Normal 13" xfId="2" xr:uid="{00000000-0005-0000-0000-00003B040000}"/>
    <cellStyle name="Normal 14" xfId="1089" xr:uid="{00000000-0005-0000-0000-00003C040000}"/>
    <cellStyle name="Normal 14 2" xfId="1090" xr:uid="{00000000-0005-0000-0000-00003D040000}"/>
    <cellStyle name="Normal 15" xfId="1091" xr:uid="{00000000-0005-0000-0000-00003E040000}"/>
    <cellStyle name="Normal 16" xfId="1092" xr:uid="{00000000-0005-0000-0000-00003F040000}"/>
    <cellStyle name="Normal 17" xfId="1093" xr:uid="{00000000-0005-0000-0000-000040040000}"/>
    <cellStyle name="Normal 18" xfId="1094" xr:uid="{00000000-0005-0000-0000-000041040000}"/>
    <cellStyle name="Normal 19" xfId="1095" xr:uid="{00000000-0005-0000-0000-000042040000}"/>
    <cellStyle name="Normal 2" xfId="1096" xr:uid="{00000000-0005-0000-0000-000043040000}"/>
    <cellStyle name="Normal 2 10" xfId="4" xr:uid="{00000000-0005-0000-0000-000044040000}"/>
    <cellStyle name="Normal 2 10 2" xfId="1098" xr:uid="{00000000-0005-0000-0000-000045040000}"/>
    <cellStyle name="Normal 2 10 3" xfId="1099" xr:uid="{00000000-0005-0000-0000-000046040000}"/>
    <cellStyle name="Normal 2 10 4" xfId="1100" xr:uid="{00000000-0005-0000-0000-000047040000}"/>
    <cellStyle name="Normal 2 10 5" xfId="1097" xr:uid="{00000000-0005-0000-0000-000048040000}"/>
    <cellStyle name="Normal 2 10 9" xfId="3" xr:uid="{00000000-0005-0000-0000-000049040000}"/>
    <cellStyle name="Normal 2 10 9 2" xfId="1102" xr:uid="{00000000-0005-0000-0000-00004A040000}"/>
    <cellStyle name="Normal 2 10 9 3" xfId="1101" xr:uid="{00000000-0005-0000-0000-00004B040000}"/>
    <cellStyle name="Normal 2 11" xfId="1103" xr:uid="{00000000-0005-0000-0000-00004C040000}"/>
    <cellStyle name="Normal 2 11 2" xfId="1104" xr:uid="{00000000-0005-0000-0000-00004D040000}"/>
    <cellStyle name="Normal 2 12" xfId="1105" xr:uid="{00000000-0005-0000-0000-00004E040000}"/>
    <cellStyle name="Normal 2 13" xfId="1106" xr:uid="{00000000-0005-0000-0000-00004F040000}"/>
    <cellStyle name="Normal 2 13 10" xfId="1107" xr:uid="{00000000-0005-0000-0000-000050040000}"/>
    <cellStyle name="Normal 2 13 11" xfId="1108" xr:uid="{00000000-0005-0000-0000-000051040000}"/>
    <cellStyle name="Normal 2 13 12" xfId="1109" xr:uid="{00000000-0005-0000-0000-000052040000}"/>
    <cellStyle name="Normal 2 13 13" xfId="1110" xr:uid="{00000000-0005-0000-0000-000053040000}"/>
    <cellStyle name="Normal 2 13 2" xfId="1111" xr:uid="{00000000-0005-0000-0000-000054040000}"/>
    <cellStyle name="Normal 2 13 2 10" xfId="1112" xr:uid="{00000000-0005-0000-0000-000055040000}"/>
    <cellStyle name="Normal 2 13 2 11" xfId="1113" xr:uid="{00000000-0005-0000-0000-000056040000}"/>
    <cellStyle name="Normal 2 13 2 12" xfId="1114" xr:uid="{00000000-0005-0000-0000-000057040000}"/>
    <cellStyle name="Normal 2 13 2 13" xfId="1115" xr:uid="{00000000-0005-0000-0000-000058040000}"/>
    <cellStyle name="Normal 2 13 2 2" xfId="1116" xr:uid="{00000000-0005-0000-0000-000059040000}"/>
    <cellStyle name="Normal 2 13 2 3" xfId="1117" xr:uid="{00000000-0005-0000-0000-00005A040000}"/>
    <cellStyle name="Normal 2 13 2 4" xfId="1118" xr:uid="{00000000-0005-0000-0000-00005B040000}"/>
    <cellStyle name="Normal 2 13 2 5" xfId="1119" xr:uid="{00000000-0005-0000-0000-00005C040000}"/>
    <cellStyle name="Normal 2 13 2 6" xfId="1120" xr:uid="{00000000-0005-0000-0000-00005D040000}"/>
    <cellStyle name="Normal 2 13 2 7" xfId="1121" xr:uid="{00000000-0005-0000-0000-00005E040000}"/>
    <cellStyle name="Normal 2 13 2 8" xfId="1122" xr:uid="{00000000-0005-0000-0000-00005F040000}"/>
    <cellStyle name="Normal 2 13 2 9" xfId="1123" xr:uid="{00000000-0005-0000-0000-000060040000}"/>
    <cellStyle name="Normal 2 13 3" xfId="1124" xr:uid="{00000000-0005-0000-0000-000061040000}"/>
    <cellStyle name="Normal 2 13 4" xfId="1125" xr:uid="{00000000-0005-0000-0000-000062040000}"/>
    <cellStyle name="Normal 2 13 5" xfId="1126" xr:uid="{00000000-0005-0000-0000-000063040000}"/>
    <cellStyle name="Normal 2 13 6" xfId="1127" xr:uid="{00000000-0005-0000-0000-000064040000}"/>
    <cellStyle name="Normal 2 13 7" xfId="1128" xr:uid="{00000000-0005-0000-0000-000065040000}"/>
    <cellStyle name="Normal 2 13 8" xfId="1129" xr:uid="{00000000-0005-0000-0000-000066040000}"/>
    <cellStyle name="Normal 2 13 9" xfId="1130" xr:uid="{00000000-0005-0000-0000-000067040000}"/>
    <cellStyle name="Normal 2 14" xfId="1131" xr:uid="{00000000-0005-0000-0000-000068040000}"/>
    <cellStyle name="Normal 2 15" xfId="1132" xr:uid="{00000000-0005-0000-0000-000069040000}"/>
    <cellStyle name="Normal 2 16" xfId="1133" xr:uid="{00000000-0005-0000-0000-00006A040000}"/>
    <cellStyle name="Normal 2 17" xfId="1134" xr:uid="{00000000-0005-0000-0000-00006B040000}"/>
    <cellStyle name="Normal 2 18" xfId="1135" xr:uid="{00000000-0005-0000-0000-00006C040000}"/>
    <cellStyle name="Normal 2 19" xfId="1136" xr:uid="{00000000-0005-0000-0000-00006D040000}"/>
    <cellStyle name="Normal 2 2" xfId="1137" xr:uid="{00000000-0005-0000-0000-00006E040000}"/>
    <cellStyle name="Normal 2 2 10" xfId="1138" xr:uid="{00000000-0005-0000-0000-00006F040000}"/>
    <cellStyle name="Normal 2 2 10 2" xfId="1139" xr:uid="{00000000-0005-0000-0000-000070040000}"/>
    <cellStyle name="Normal 2 2 11" xfId="1140" xr:uid="{00000000-0005-0000-0000-000071040000}"/>
    <cellStyle name="Normal 2 2 11 2" xfId="1141" xr:uid="{00000000-0005-0000-0000-000072040000}"/>
    <cellStyle name="Normal 2 2 12" xfId="1142" xr:uid="{00000000-0005-0000-0000-000073040000}"/>
    <cellStyle name="Normal 2 2 12 2" xfId="1143" xr:uid="{00000000-0005-0000-0000-000074040000}"/>
    <cellStyle name="Normal 2 2 13" xfId="1144" xr:uid="{00000000-0005-0000-0000-000075040000}"/>
    <cellStyle name="Normal 2 2 13 2" xfId="1145" xr:uid="{00000000-0005-0000-0000-000076040000}"/>
    <cellStyle name="Normal 2 2 14" xfId="1146" xr:uid="{00000000-0005-0000-0000-000077040000}"/>
    <cellStyle name="Normal 2 2 14 2" xfId="1147" xr:uid="{00000000-0005-0000-0000-000078040000}"/>
    <cellStyle name="Normal 2 2 15" xfId="1148" xr:uid="{00000000-0005-0000-0000-000079040000}"/>
    <cellStyle name="Normal 2 2 15 2" xfId="1149" xr:uid="{00000000-0005-0000-0000-00007A040000}"/>
    <cellStyle name="Normal 2 2 16" xfId="1150" xr:uid="{00000000-0005-0000-0000-00007B040000}"/>
    <cellStyle name="Normal 2 2 16 2" xfId="1151" xr:uid="{00000000-0005-0000-0000-00007C040000}"/>
    <cellStyle name="Normal 2 2 17" xfId="1152" xr:uid="{00000000-0005-0000-0000-00007D040000}"/>
    <cellStyle name="Normal 2 2 17 2" xfId="1153" xr:uid="{00000000-0005-0000-0000-00007E040000}"/>
    <cellStyle name="Normal 2 2 18" xfId="1154" xr:uid="{00000000-0005-0000-0000-00007F040000}"/>
    <cellStyle name="Normal 2 2 18 2" xfId="1155" xr:uid="{00000000-0005-0000-0000-000080040000}"/>
    <cellStyle name="Normal 2 2 19" xfId="1156" xr:uid="{00000000-0005-0000-0000-000081040000}"/>
    <cellStyle name="Normal 2 2 19 2" xfId="1157" xr:uid="{00000000-0005-0000-0000-000082040000}"/>
    <cellStyle name="Normal 2 2 2" xfId="1158" xr:uid="{00000000-0005-0000-0000-000083040000}"/>
    <cellStyle name="Normal 2 2 2 2" xfId="1159" xr:uid="{00000000-0005-0000-0000-000084040000}"/>
    <cellStyle name="Normal 2 2 20" xfId="1160" xr:uid="{00000000-0005-0000-0000-000085040000}"/>
    <cellStyle name="Normal 2 2 21" xfId="1161" xr:uid="{00000000-0005-0000-0000-000086040000}"/>
    <cellStyle name="Normal 2 2 22" xfId="1162" xr:uid="{00000000-0005-0000-0000-000087040000}"/>
    <cellStyle name="Normal 2 2 3" xfId="6" xr:uid="{00000000-0005-0000-0000-000088040000}"/>
    <cellStyle name="Normal 2 2 4" xfId="1163" xr:uid="{00000000-0005-0000-0000-000089040000}"/>
    <cellStyle name="Normal 2 2 4 10" xfId="1164" xr:uid="{00000000-0005-0000-0000-00008A040000}"/>
    <cellStyle name="Normal 2 2 4 11" xfId="1165" xr:uid="{00000000-0005-0000-0000-00008B040000}"/>
    <cellStyle name="Normal 2 2 4 12" xfId="1166" xr:uid="{00000000-0005-0000-0000-00008C040000}"/>
    <cellStyle name="Normal 2 2 4 13" xfId="1167" xr:uid="{00000000-0005-0000-0000-00008D040000}"/>
    <cellStyle name="Normal 2 2 4 14" xfId="1168" xr:uid="{00000000-0005-0000-0000-00008E040000}"/>
    <cellStyle name="Normal 2 2 4 2" xfId="1169" xr:uid="{00000000-0005-0000-0000-00008F040000}"/>
    <cellStyle name="Normal 2 2 4 2 10" xfId="1170" xr:uid="{00000000-0005-0000-0000-000090040000}"/>
    <cellStyle name="Normal 2 2 4 2 10 2" xfId="1171" xr:uid="{00000000-0005-0000-0000-000091040000}"/>
    <cellStyle name="Normal 2 2 4 2 11" xfId="1172" xr:uid="{00000000-0005-0000-0000-000092040000}"/>
    <cellStyle name="Normal 2 2 4 2 11 2" xfId="1173" xr:uid="{00000000-0005-0000-0000-000093040000}"/>
    <cellStyle name="Normal 2 2 4 2 12" xfId="1174" xr:uid="{00000000-0005-0000-0000-000094040000}"/>
    <cellStyle name="Normal 2 2 4 2 12 2" xfId="1175" xr:uid="{00000000-0005-0000-0000-000095040000}"/>
    <cellStyle name="Normal 2 2 4 2 13" xfId="1176" xr:uid="{00000000-0005-0000-0000-000096040000}"/>
    <cellStyle name="Normal 2 2 4 2 13 2" xfId="1177" xr:uid="{00000000-0005-0000-0000-000097040000}"/>
    <cellStyle name="Normal 2 2 4 2 2" xfId="1178" xr:uid="{00000000-0005-0000-0000-000098040000}"/>
    <cellStyle name="Normal 2 2 4 2 2 2" xfId="1179" xr:uid="{00000000-0005-0000-0000-000099040000}"/>
    <cellStyle name="Normal 2 2 4 2 3" xfId="1180" xr:uid="{00000000-0005-0000-0000-00009A040000}"/>
    <cellStyle name="Normal 2 2 4 2 3 2" xfId="1181" xr:uid="{00000000-0005-0000-0000-00009B040000}"/>
    <cellStyle name="Normal 2 2 4 2 4" xfId="1182" xr:uid="{00000000-0005-0000-0000-00009C040000}"/>
    <cellStyle name="Normal 2 2 4 2 4 2" xfId="1183" xr:uid="{00000000-0005-0000-0000-00009D040000}"/>
    <cellStyle name="Normal 2 2 4 2 5" xfId="1184" xr:uid="{00000000-0005-0000-0000-00009E040000}"/>
    <cellStyle name="Normal 2 2 4 2 5 2" xfId="1185" xr:uid="{00000000-0005-0000-0000-00009F040000}"/>
    <cellStyle name="Normal 2 2 4 2 6" xfId="1186" xr:uid="{00000000-0005-0000-0000-0000A0040000}"/>
    <cellStyle name="Normal 2 2 4 2 6 2" xfId="1187" xr:uid="{00000000-0005-0000-0000-0000A1040000}"/>
    <cellStyle name="Normal 2 2 4 2 7" xfId="1188" xr:uid="{00000000-0005-0000-0000-0000A2040000}"/>
    <cellStyle name="Normal 2 2 4 2 7 2" xfId="1189" xr:uid="{00000000-0005-0000-0000-0000A3040000}"/>
    <cellStyle name="Normal 2 2 4 2 8" xfId="1190" xr:uid="{00000000-0005-0000-0000-0000A4040000}"/>
    <cellStyle name="Normal 2 2 4 2 8 2" xfId="1191" xr:uid="{00000000-0005-0000-0000-0000A5040000}"/>
    <cellStyle name="Normal 2 2 4 2 9" xfId="1192" xr:uid="{00000000-0005-0000-0000-0000A6040000}"/>
    <cellStyle name="Normal 2 2 4 2 9 2" xfId="1193" xr:uid="{00000000-0005-0000-0000-0000A7040000}"/>
    <cellStyle name="Normal 2 2 4 3" xfId="1194" xr:uid="{00000000-0005-0000-0000-0000A8040000}"/>
    <cellStyle name="Normal 2 2 4 4" xfId="1195" xr:uid="{00000000-0005-0000-0000-0000A9040000}"/>
    <cellStyle name="Normal 2 2 4 5" xfId="1196" xr:uid="{00000000-0005-0000-0000-0000AA040000}"/>
    <cellStyle name="Normal 2 2 4 6" xfId="1197" xr:uid="{00000000-0005-0000-0000-0000AB040000}"/>
    <cellStyle name="Normal 2 2 4 7" xfId="1198" xr:uid="{00000000-0005-0000-0000-0000AC040000}"/>
    <cellStyle name="Normal 2 2 4 8" xfId="1199" xr:uid="{00000000-0005-0000-0000-0000AD040000}"/>
    <cellStyle name="Normal 2 2 4 9" xfId="1200" xr:uid="{00000000-0005-0000-0000-0000AE040000}"/>
    <cellStyle name="Normal 2 2 5" xfId="1201" xr:uid="{00000000-0005-0000-0000-0000AF040000}"/>
    <cellStyle name="Normal 2 2 5 2" xfId="1202" xr:uid="{00000000-0005-0000-0000-0000B0040000}"/>
    <cellStyle name="Normal 2 2 6" xfId="1203" xr:uid="{00000000-0005-0000-0000-0000B1040000}"/>
    <cellStyle name="Normal 2 2 6 2" xfId="1204" xr:uid="{00000000-0005-0000-0000-0000B2040000}"/>
    <cellStyle name="Normal 2 2 7" xfId="1205" xr:uid="{00000000-0005-0000-0000-0000B3040000}"/>
    <cellStyle name="Normal 2 2 7 2" xfId="1206" xr:uid="{00000000-0005-0000-0000-0000B4040000}"/>
    <cellStyle name="Normal 2 2 8" xfId="1207" xr:uid="{00000000-0005-0000-0000-0000B5040000}"/>
    <cellStyle name="Normal 2 2 8 2" xfId="1208" xr:uid="{00000000-0005-0000-0000-0000B6040000}"/>
    <cellStyle name="Normal 2 2 8 2 2" xfId="1209" xr:uid="{00000000-0005-0000-0000-0000B7040000}"/>
    <cellStyle name="Normal 2 2 8 3" xfId="1210" xr:uid="{00000000-0005-0000-0000-0000B8040000}"/>
    <cellStyle name="Normal 2 2 9" xfId="1211" xr:uid="{00000000-0005-0000-0000-0000B9040000}"/>
    <cellStyle name="Normal 2 2 9 2" xfId="1212" xr:uid="{00000000-0005-0000-0000-0000BA040000}"/>
    <cellStyle name="Normal 2 20" xfId="1213" xr:uid="{00000000-0005-0000-0000-0000BB040000}"/>
    <cellStyle name="Normal 2 21" xfId="1214" xr:uid="{00000000-0005-0000-0000-0000BC040000}"/>
    <cellStyle name="Normal 2 22" xfId="1215" xr:uid="{00000000-0005-0000-0000-0000BD040000}"/>
    <cellStyle name="Normal 2 23" xfId="1216" xr:uid="{00000000-0005-0000-0000-0000BE040000}"/>
    <cellStyle name="Normal 2 24" xfId="1217" xr:uid="{00000000-0005-0000-0000-0000BF040000}"/>
    <cellStyle name="Normal 2 25" xfId="1218" xr:uid="{00000000-0005-0000-0000-0000C0040000}"/>
    <cellStyle name="Normal 2 26" xfId="1219" xr:uid="{00000000-0005-0000-0000-0000C1040000}"/>
    <cellStyle name="Normal 2 27" xfId="1220" xr:uid="{00000000-0005-0000-0000-0000C2040000}"/>
    <cellStyle name="Normal 2 28" xfId="1221" xr:uid="{00000000-0005-0000-0000-0000C3040000}"/>
    <cellStyle name="Normal 2 3" xfId="1222" xr:uid="{00000000-0005-0000-0000-0000C4040000}"/>
    <cellStyle name="Normal 2 3 2" xfId="1223" xr:uid="{00000000-0005-0000-0000-0000C5040000}"/>
    <cellStyle name="Normal 2 4" xfId="10" xr:uid="{00000000-0005-0000-0000-0000C6040000}"/>
    <cellStyle name="Normal 2 5" xfId="1224" xr:uid="{00000000-0005-0000-0000-0000C7040000}"/>
    <cellStyle name="Normal 2 6" xfId="1225" xr:uid="{00000000-0005-0000-0000-0000C8040000}"/>
    <cellStyle name="Normal 2 7" xfId="1226" xr:uid="{00000000-0005-0000-0000-0000C9040000}"/>
    <cellStyle name="Normal 2 7 2" xfId="1227" xr:uid="{00000000-0005-0000-0000-0000CA040000}"/>
    <cellStyle name="Normal 2 8" xfId="1228" xr:uid="{00000000-0005-0000-0000-0000CB040000}"/>
    <cellStyle name="Normal 2 8 2" xfId="1229" xr:uid="{00000000-0005-0000-0000-0000CC040000}"/>
    <cellStyle name="Normal 2 9" xfId="1230" xr:uid="{00000000-0005-0000-0000-0000CD040000}"/>
    <cellStyle name="Normal 2 9 2" xfId="1231" xr:uid="{00000000-0005-0000-0000-0000CE040000}"/>
    <cellStyle name="Normal 2_2210_2220_2230_2240_2250_2260" xfId="1232" xr:uid="{00000000-0005-0000-0000-0000CF040000}"/>
    <cellStyle name="Normal 20" xfId="1233" xr:uid="{00000000-0005-0000-0000-0000D0040000}"/>
    <cellStyle name="Normal 21" xfId="1234" xr:uid="{00000000-0005-0000-0000-0000D1040000}"/>
    <cellStyle name="Normal 22" xfId="1235" xr:uid="{00000000-0005-0000-0000-0000D2040000}"/>
    <cellStyle name="Normal 23" xfId="1236" xr:uid="{00000000-0005-0000-0000-0000D3040000}"/>
    <cellStyle name="Normal 24" xfId="1237" xr:uid="{00000000-0005-0000-0000-0000D4040000}"/>
    <cellStyle name="Normal 25" xfId="1238" xr:uid="{00000000-0005-0000-0000-0000D5040000}"/>
    <cellStyle name="Normal 26" xfId="8" xr:uid="{00000000-0005-0000-0000-0000D6040000}"/>
    <cellStyle name="Normal 26 2" xfId="1240" xr:uid="{00000000-0005-0000-0000-0000D7040000}"/>
    <cellStyle name="Normal 26 3" xfId="1241" xr:uid="{00000000-0005-0000-0000-0000D8040000}"/>
    <cellStyle name="Normal 26 4" xfId="1239" xr:uid="{00000000-0005-0000-0000-0000D9040000}"/>
    <cellStyle name="Normal 27" xfId="11" xr:uid="{00000000-0005-0000-0000-0000DA040000}"/>
    <cellStyle name="Normal 28" xfId="1242" xr:uid="{00000000-0005-0000-0000-0000DB040000}"/>
    <cellStyle name="Normal 29" xfId="1243" xr:uid="{00000000-0005-0000-0000-0000DC040000}"/>
    <cellStyle name="Normal 29 2" xfId="1244" xr:uid="{00000000-0005-0000-0000-0000DD040000}"/>
    <cellStyle name="Normal 3" xfId="1245" xr:uid="{00000000-0005-0000-0000-0000DE040000}"/>
    <cellStyle name="Normal 3 10" xfId="1246" xr:uid="{00000000-0005-0000-0000-0000DF040000}"/>
    <cellStyle name="Normal 3 10 2" xfId="1247" xr:uid="{00000000-0005-0000-0000-0000E0040000}"/>
    <cellStyle name="Normal 3 11" xfId="1248" xr:uid="{00000000-0005-0000-0000-0000E1040000}"/>
    <cellStyle name="Normal 3 12" xfId="1249" xr:uid="{00000000-0005-0000-0000-0000E2040000}"/>
    <cellStyle name="Normal 3 13" xfId="1250" xr:uid="{00000000-0005-0000-0000-0000E3040000}"/>
    <cellStyle name="Normal 3 14" xfId="1251" xr:uid="{00000000-0005-0000-0000-0000E4040000}"/>
    <cellStyle name="Normal 3 15" xfId="1252" xr:uid="{00000000-0005-0000-0000-0000E5040000}"/>
    <cellStyle name="Normal 3 16" xfId="1253" xr:uid="{00000000-0005-0000-0000-0000E6040000}"/>
    <cellStyle name="Normal 3 17" xfId="1254" xr:uid="{00000000-0005-0000-0000-0000E7040000}"/>
    <cellStyle name="Normal 3 18" xfId="1255" xr:uid="{00000000-0005-0000-0000-0000E8040000}"/>
    <cellStyle name="Normal 3 19" xfId="1256" xr:uid="{00000000-0005-0000-0000-0000E9040000}"/>
    <cellStyle name="Normal 3 2" xfId="1257" xr:uid="{00000000-0005-0000-0000-0000EA040000}"/>
    <cellStyle name="Normal 3 2 2" xfId="1258" xr:uid="{00000000-0005-0000-0000-0000EB040000}"/>
    <cellStyle name="Normal 3 20" xfId="1259" xr:uid="{00000000-0005-0000-0000-0000EC040000}"/>
    <cellStyle name="Normal 3 21" xfId="1260" xr:uid="{00000000-0005-0000-0000-0000ED040000}"/>
    <cellStyle name="Normal 3 22" xfId="1261" xr:uid="{00000000-0005-0000-0000-0000EE040000}"/>
    <cellStyle name="Normal 3 23" xfId="1262" xr:uid="{00000000-0005-0000-0000-0000EF040000}"/>
    <cellStyle name="Normal 3 24" xfId="1462" xr:uid="{00000000-0005-0000-0000-0000F0040000}"/>
    <cellStyle name="Normal 3 3" xfId="1263" xr:uid="{00000000-0005-0000-0000-0000F1040000}"/>
    <cellStyle name="Normal 3 3 2" xfId="1264" xr:uid="{00000000-0005-0000-0000-0000F2040000}"/>
    <cellStyle name="Normal 3 4" xfId="1265" xr:uid="{00000000-0005-0000-0000-0000F3040000}"/>
    <cellStyle name="Normal 3 4 2" xfId="1266" xr:uid="{00000000-0005-0000-0000-0000F4040000}"/>
    <cellStyle name="Normal 3 5" xfId="1267" xr:uid="{00000000-0005-0000-0000-0000F5040000}"/>
    <cellStyle name="Normal 3 6" xfId="1268" xr:uid="{00000000-0005-0000-0000-0000F6040000}"/>
    <cellStyle name="Normal 3 6 2" xfId="1269" xr:uid="{00000000-0005-0000-0000-0000F7040000}"/>
    <cellStyle name="Normal 3 7" xfId="1270" xr:uid="{00000000-0005-0000-0000-0000F8040000}"/>
    <cellStyle name="Normal 3 7 2" xfId="1271" xr:uid="{00000000-0005-0000-0000-0000F9040000}"/>
    <cellStyle name="Normal 3 8" xfId="1272" xr:uid="{00000000-0005-0000-0000-0000FA040000}"/>
    <cellStyle name="Normal 3 8 2" xfId="1273" xr:uid="{00000000-0005-0000-0000-0000FB040000}"/>
    <cellStyle name="Normal 3 9" xfId="1274" xr:uid="{00000000-0005-0000-0000-0000FC040000}"/>
    <cellStyle name="Normal 3 9 2" xfId="1275" xr:uid="{00000000-0005-0000-0000-0000FD040000}"/>
    <cellStyle name="Normal 3_2210_2220_2230_2240_2250_2260" xfId="1276" xr:uid="{00000000-0005-0000-0000-0000FE040000}"/>
    <cellStyle name="Normal 30" xfId="1277" xr:uid="{00000000-0005-0000-0000-0000FF040000}"/>
    <cellStyle name="Normal 30 2" xfId="1278" xr:uid="{00000000-0005-0000-0000-000000050000}"/>
    <cellStyle name="Normal 31" xfId="1279" xr:uid="{00000000-0005-0000-0000-000001050000}"/>
    <cellStyle name="Normal 31 2" xfId="1280" xr:uid="{00000000-0005-0000-0000-000002050000}"/>
    <cellStyle name="Normal 32" xfId="1281" xr:uid="{00000000-0005-0000-0000-000003050000}"/>
    <cellStyle name="Normal 32 2" xfId="1282" xr:uid="{00000000-0005-0000-0000-000004050000}"/>
    <cellStyle name="Normal 32 2 2" xfId="1283" xr:uid="{00000000-0005-0000-0000-000005050000}"/>
    <cellStyle name="Normal 32 3" xfId="1284" xr:uid="{00000000-0005-0000-0000-000006050000}"/>
    <cellStyle name="Normal 32 3 2" xfId="1285" xr:uid="{00000000-0005-0000-0000-000007050000}"/>
    <cellStyle name="Normal 32 4" xfId="1286" xr:uid="{00000000-0005-0000-0000-000008050000}"/>
    <cellStyle name="Normal 32 4 2" xfId="1287" xr:uid="{00000000-0005-0000-0000-000009050000}"/>
    <cellStyle name="Normal 32 5" xfId="1288" xr:uid="{00000000-0005-0000-0000-00000A050000}"/>
    <cellStyle name="Normal 33" xfId="1289" xr:uid="{00000000-0005-0000-0000-00000B050000}"/>
    <cellStyle name="Normal 33 2" xfId="1290" xr:uid="{00000000-0005-0000-0000-00000C050000}"/>
    <cellStyle name="Normal 34" xfId="1291" xr:uid="{00000000-0005-0000-0000-00000D050000}"/>
    <cellStyle name="Normal 34 2" xfId="1292" xr:uid="{00000000-0005-0000-0000-00000E050000}"/>
    <cellStyle name="Normal 35" xfId="1293" xr:uid="{00000000-0005-0000-0000-00000F050000}"/>
    <cellStyle name="Normal 35 2" xfId="1294" xr:uid="{00000000-0005-0000-0000-000010050000}"/>
    <cellStyle name="Normal 36" xfId="1295" xr:uid="{00000000-0005-0000-0000-000011050000}"/>
    <cellStyle name="Normal 36 2" xfId="1296" xr:uid="{00000000-0005-0000-0000-000012050000}"/>
    <cellStyle name="Normal 37" xfId="1297" xr:uid="{00000000-0005-0000-0000-000013050000}"/>
    <cellStyle name="Normal 37 2" xfId="1298" xr:uid="{00000000-0005-0000-0000-000014050000}"/>
    <cellStyle name="Normal 38" xfId="1299" xr:uid="{00000000-0005-0000-0000-000015050000}"/>
    <cellStyle name="Normal 39" xfId="1461" xr:uid="{00000000-0005-0000-0000-000016050000}"/>
    <cellStyle name="Normal 4" xfId="1300" xr:uid="{00000000-0005-0000-0000-000017050000}"/>
    <cellStyle name="Normal 4 10" xfId="1301" xr:uid="{00000000-0005-0000-0000-000018050000}"/>
    <cellStyle name="Normal 4 11" xfId="1302" xr:uid="{00000000-0005-0000-0000-000019050000}"/>
    <cellStyle name="Normal 4 12" xfId="1303" xr:uid="{00000000-0005-0000-0000-00001A050000}"/>
    <cellStyle name="Normal 4 13" xfId="1304" xr:uid="{00000000-0005-0000-0000-00001B050000}"/>
    <cellStyle name="Normal 4 14" xfId="1305" xr:uid="{00000000-0005-0000-0000-00001C050000}"/>
    <cellStyle name="Normal 4 15" xfId="1306" xr:uid="{00000000-0005-0000-0000-00001D050000}"/>
    <cellStyle name="Normal 4 16" xfId="1307" xr:uid="{00000000-0005-0000-0000-00001E050000}"/>
    <cellStyle name="Normal 4 17" xfId="1308" xr:uid="{00000000-0005-0000-0000-00001F050000}"/>
    <cellStyle name="Normal 4 2" xfId="1309" xr:uid="{00000000-0005-0000-0000-000020050000}"/>
    <cellStyle name="Normal 4 2 2" xfId="1310" xr:uid="{00000000-0005-0000-0000-000021050000}"/>
    <cellStyle name="Normal 4 2 2 2" xfId="1311" xr:uid="{00000000-0005-0000-0000-000022050000}"/>
    <cellStyle name="Normal 4 2 3" xfId="1312" xr:uid="{00000000-0005-0000-0000-000023050000}"/>
    <cellStyle name="Normal 4 3" xfId="1313" xr:uid="{00000000-0005-0000-0000-000024050000}"/>
    <cellStyle name="Normal 4 3 2" xfId="1314" xr:uid="{00000000-0005-0000-0000-000025050000}"/>
    <cellStyle name="Normal 4 4" xfId="1315" xr:uid="{00000000-0005-0000-0000-000026050000}"/>
    <cellStyle name="Normal 4 4 2" xfId="1316" xr:uid="{00000000-0005-0000-0000-000027050000}"/>
    <cellStyle name="Normal 4 5" xfId="1317" xr:uid="{00000000-0005-0000-0000-000028050000}"/>
    <cellStyle name="Normal 4 6" xfId="1318" xr:uid="{00000000-0005-0000-0000-000029050000}"/>
    <cellStyle name="Normal 4 7" xfId="1319" xr:uid="{00000000-0005-0000-0000-00002A050000}"/>
    <cellStyle name="Normal 4 8" xfId="1320" xr:uid="{00000000-0005-0000-0000-00002B050000}"/>
    <cellStyle name="Normal 4 9" xfId="1321" xr:uid="{00000000-0005-0000-0000-00002C050000}"/>
    <cellStyle name="Normal 4_2210_2220_2230_2240_2250_2260" xfId="1322" xr:uid="{00000000-0005-0000-0000-00002D050000}"/>
    <cellStyle name="Normal 40" xfId="1466" xr:uid="{00000000-0005-0000-0000-00002E050000}"/>
    <cellStyle name="Normal 45" xfId="1323" xr:uid="{00000000-0005-0000-0000-00002F050000}"/>
    <cellStyle name="Normal 45 2" xfId="1324" xr:uid="{00000000-0005-0000-0000-000030050000}"/>
    <cellStyle name="Normal 45 2 2" xfId="1325" xr:uid="{00000000-0005-0000-0000-000031050000}"/>
    <cellStyle name="Normal 45 3" xfId="1326" xr:uid="{00000000-0005-0000-0000-000032050000}"/>
    <cellStyle name="Normal 45 3 2" xfId="1327" xr:uid="{00000000-0005-0000-0000-000033050000}"/>
    <cellStyle name="Normal 45 4" xfId="1328" xr:uid="{00000000-0005-0000-0000-000034050000}"/>
    <cellStyle name="Normal 45 4 2" xfId="1329" xr:uid="{00000000-0005-0000-0000-000035050000}"/>
    <cellStyle name="Normal 45 5" xfId="1330" xr:uid="{00000000-0005-0000-0000-000036050000}"/>
    <cellStyle name="Normal 5" xfId="1331" xr:uid="{00000000-0005-0000-0000-000037050000}"/>
    <cellStyle name="Normal 5 2" xfId="1332" xr:uid="{00000000-0005-0000-0000-000038050000}"/>
    <cellStyle name="Normal 5 3" xfId="1333" xr:uid="{00000000-0005-0000-0000-000039050000}"/>
    <cellStyle name="Normal 50" xfId="1334" xr:uid="{00000000-0005-0000-0000-00003A050000}"/>
    <cellStyle name="Normal 50 2" xfId="1335" xr:uid="{00000000-0005-0000-0000-00003B050000}"/>
    <cellStyle name="Normal 50 2 2" xfId="1336" xr:uid="{00000000-0005-0000-0000-00003C050000}"/>
    <cellStyle name="Normal 50 3" xfId="1337" xr:uid="{00000000-0005-0000-0000-00003D050000}"/>
    <cellStyle name="Normal 50 3 2" xfId="1338" xr:uid="{00000000-0005-0000-0000-00003E050000}"/>
    <cellStyle name="Normal 50 4" xfId="1339" xr:uid="{00000000-0005-0000-0000-00003F050000}"/>
    <cellStyle name="Normal 51" xfId="1340" xr:uid="{00000000-0005-0000-0000-000040050000}"/>
    <cellStyle name="Normal 51 2" xfId="1341" xr:uid="{00000000-0005-0000-0000-000041050000}"/>
    <cellStyle name="Normal 51 2 2" xfId="1342" xr:uid="{00000000-0005-0000-0000-000042050000}"/>
    <cellStyle name="Normal 51 3" xfId="1343" xr:uid="{00000000-0005-0000-0000-000043050000}"/>
    <cellStyle name="Normal 51 3 2" xfId="1344" xr:uid="{00000000-0005-0000-0000-000044050000}"/>
    <cellStyle name="Normal 51 4" xfId="1345" xr:uid="{00000000-0005-0000-0000-000045050000}"/>
    <cellStyle name="Normal 6" xfId="1346" xr:uid="{00000000-0005-0000-0000-000046050000}"/>
    <cellStyle name="Normal 6 2" xfId="1347" xr:uid="{00000000-0005-0000-0000-000047050000}"/>
    <cellStyle name="Normal 6 2 2" xfId="1348" xr:uid="{00000000-0005-0000-0000-000048050000}"/>
    <cellStyle name="Normal 6 3" xfId="1349" xr:uid="{00000000-0005-0000-0000-000049050000}"/>
    <cellStyle name="Normal 6 4" xfId="1350" xr:uid="{00000000-0005-0000-0000-00004A050000}"/>
    <cellStyle name="Normal 6 4 2" xfId="7" xr:uid="{00000000-0005-0000-0000-00004B050000}"/>
    <cellStyle name="Normal 6 4 2 2" xfId="1352" xr:uid="{00000000-0005-0000-0000-00004C050000}"/>
    <cellStyle name="Normal 6 4 2 2 2" xfId="1353" xr:uid="{00000000-0005-0000-0000-00004D050000}"/>
    <cellStyle name="Normal 6 4 2 3" xfId="1354" xr:uid="{00000000-0005-0000-0000-00004E050000}"/>
    <cellStyle name="Normal 6 4 2 4" xfId="1355" xr:uid="{00000000-0005-0000-0000-00004F050000}"/>
    <cellStyle name="Normal 6 4 2 5" xfId="1351" xr:uid="{00000000-0005-0000-0000-000050050000}"/>
    <cellStyle name="Normal 6 4 3" xfId="1356" xr:uid="{00000000-0005-0000-0000-000051050000}"/>
    <cellStyle name="Normal 60 2" xfId="1357" xr:uid="{00000000-0005-0000-0000-000052050000}"/>
    <cellStyle name="Normal 60 2 2" xfId="1358" xr:uid="{00000000-0005-0000-0000-000053050000}"/>
    <cellStyle name="Normal 7" xfId="1359" xr:uid="{00000000-0005-0000-0000-000054050000}"/>
    <cellStyle name="Normal 70" xfId="1360" xr:uid="{00000000-0005-0000-0000-000055050000}"/>
    <cellStyle name="Normal 8" xfId="1361" xr:uid="{00000000-0005-0000-0000-000056050000}"/>
    <cellStyle name="Normal 8 2" xfId="5" xr:uid="{00000000-0005-0000-0000-000057050000}"/>
    <cellStyle name="Normal 9" xfId="1362" xr:uid="{00000000-0005-0000-0000-000058050000}"/>
    <cellStyle name="Normal_Sheet3" xfId="1467" xr:uid="{00000000-0005-0000-0000-000059050000}"/>
    <cellStyle name="Note 10" xfId="1363" xr:uid="{00000000-0005-0000-0000-00005A050000}"/>
    <cellStyle name="Note 11" xfId="1364" xr:uid="{00000000-0005-0000-0000-00005B050000}"/>
    <cellStyle name="Note 12" xfId="1365" xr:uid="{00000000-0005-0000-0000-00005C050000}"/>
    <cellStyle name="Note 13" xfId="1366" xr:uid="{00000000-0005-0000-0000-00005D050000}"/>
    <cellStyle name="Note 14" xfId="1367" xr:uid="{00000000-0005-0000-0000-00005E050000}"/>
    <cellStyle name="Note 15" xfId="1368" xr:uid="{00000000-0005-0000-0000-00005F050000}"/>
    <cellStyle name="Note 16" xfId="1369" xr:uid="{00000000-0005-0000-0000-000060050000}"/>
    <cellStyle name="Note 2" xfId="1370" xr:uid="{00000000-0005-0000-0000-000061050000}"/>
    <cellStyle name="Note 3" xfId="1371" xr:uid="{00000000-0005-0000-0000-000062050000}"/>
    <cellStyle name="Note 4" xfId="1372" xr:uid="{00000000-0005-0000-0000-000063050000}"/>
    <cellStyle name="Note 5" xfId="1373" xr:uid="{00000000-0005-0000-0000-000064050000}"/>
    <cellStyle name="Note 6" xfId="1374" xr:uid="{00000000-0005-0000-0000-000065050000}"/>
    <cellStyle name="Note 7" xfId="1375" xr:uid="{00000000-0005-0000-0000-000066050000}"/>
    <cellStyle name="Note 8" xfId="1376" xr:uid="{00000000-0005-0000-0000-000067050000}"/>
    <cellStyle name="Note 9" xfId="1377" xr:uid="{00000000-0005-0000-0000-000068050000}"/>
    <cellStyle name="Output 10" xfId="1378" xr:uid="{00000000-0005-0000-0000-000069050000}"/>
    <cellStyle name="Output 11" xfId="1379" xr:uid="{00000000-0005-0000-0000-00006A050000}"/>
    <cellStyle name="Output 12" xfId="1380" xr:uid="{00000000-0005-0000-0000-00006B050000}"/>
    <cellStyle name="Output 13" xfId="1381" xr:uid="{00000000-0005-0000-0000-00006C050000}"/>
    <cellStyle name="Output 14" xfId="1382" xr:uid="{00000000-0005-0000-0000-00006D050000}"/>
    <cellStyle name="Output 15" xfId="1383" xr:uid="{00000000-0005-0000-0000-00006E050000}"/>
    <cellStyle name="Output 16" xfId="1384" xr:uid="{00000000-0005-0000-0000-00006F050000}"/>
    <cellStyle name="Output 2" xfId="1385" xr:uid="{00000000-0005-0000-0000-000070050000}"/>
    <cellStyle name="Output 3" xfId="1386" xr:uid="{00000000-0005-0000-0000-000071050000}"/>
    <cellStyle name="Output 4" xfId="1387" xr:uid="{00000000-0005-0000-0000-000072050000}"/>
    <cellStyle name="Output 5" xfId="1388" xr:uid="{00000000-0005-0000-0000-000073050000}"/>
    <cellStyle name="Output 6" xfId="1389" xr:uid="{00000000-0005-0000-0000-000074050000}"/>
    <cellStyle name="Output 7" xfId="1390" xr:uid="{00000000-0005-0000-0000-000075050000}"/>
    <cellStyle name="Output 8" xfId="1391" xr:uid="{00000000-0005-0000-0000-000076050000}"/>
    <cellStyle name="Output 9" xfId="1392" xr:uid="{00000000-0005-0000-0000-000077050000}"/>
    <cellStyle name="Parasts" xfId="0" builtinId="0"/>
    <cellStyle name="Percent 2" xfId="1393" xr:uid="{00000000-0005-0000-0000-000079050000}"/>
    <cellStyle name="Percent 2 2" xfId="1394" xr:uid="{00000000-0005-0000-0000-00007A050000}"/>
    <cellStyle name="Percent 3" xfId="1395" xr:uid="{00000000-0005-0000-0000-00007B050000}"/>
    <cellStyle name="Percent 4" xfId="1396" xr:uid="{00000000-0005-0000-0000-00007C050000}"/>
    <cellStyle name="Percent 5" xfId="1397" xr:uid="{00000000-0005-0000-0000-00007D050000}"/>
    <cellStyle name="Percent 6" xfId="1398" xr:uid="{00000000-0005-0000-0000-00007E050000}"/>
    <cellStyle name="Percent 6 2" xfId="1399" xr:uid="{00000000-0005-0000-0000-00007F050000}"/>
    <cellStyle name="Procenti" xfId="12" builtinId="5"/>
    <cellStyle name="Title 10" xfId="1400" xr:uid="{00000000-0005-0000-0000-000081050000}"/>
    <cellStyle name="Title 11" xfId="1401" xr:uid="{00000000-0005-0000-0000-000082050000}"/>
    <cellStyle name="Title 12" xfId="1402" xr:uid="{00000000-0005-0000-0000-000083050000}"/>
    <cellStyle name="Title 13" xfId="1403" xr:uid="{00000000-0005-0000-0000-000084050000}"/>
    <cellStyle name="Title 14" xfId="1404" xr:uid="{00000000-0005-0000-0000-000085050000}"/>
    <cellStyle name="Title 15" xfId="1405" xr:uid="{00000000-0005-0000-0000-000086050000}"/>
    <cellStyle name="Title 16" xfId="1406" xr:uid="{00000000-0005-0000-0000-000087050000}"/>
    <cellStyle name="Title 2" xfId="1407" xr:uid="{00000000-0005-0000-0000-000088050000}"/>
    <cellStyle name="Title 3" xfId="1408" xr:uid="{00000000-0005-0000-0000-000089050000}"/>
    <cellStyle name="Title 4" xfId="1409" xr:uid="{00000000-0005-0000-0000-00008A050000}"/>
    <cellStyle name="Title 5" xfId="1410" xr:uid="{00000000-0005-0000-0000-00008B050000}"/>
    <cellStyle name="Title 6" xfId="1411" xr:uid="{00000000-0005-0000-0000-00008C050000}"/>
    <cellStyle name="Title 7" xfId="1412" xr:uid="{00000000-0005-0000-0000-00008D050000}"/>
    <cellStyle name="Title 8" xfId="1413" xr:uid="{00000000-0005-0000-0000-00008E050000}"/>
    <cellStyle name="Title 9" xfId="1414" xr:uid="{00000000-0005-0000-0000-00008F050000}"/>
    <cellStyle name="Total 10" xfId="1415" xr:uid="{00000000-0005-0000-0000-000090050000}"/>
    <cellStyle name="Total 10 2" xfId="1416" xr:uid="{00000000-0005-0000-0000-000091050000}"/>
    <cellStyle name="Total 11" xfId="1417" xr:uid="{00000000-0005-0000-0000-000092050000}"/>
    <cellStyle name="Total 11 2" xfId="1418" xr:uid="{00000000-0005-0000-0000-000093050000}"/>
    <cellStyle name="Total 12" xfId="1419" xr:uid="{00000000-0005-0000-0000-000094050000}"/>
    <cellStyle name="Total 12 2" xfId="1420" xr:uid="{00000000-0005-0000-0000-000095050000}"/>
    <cellStyle name="Total 13" xfId="1421" xr:uid="{00000000-0005-0000-0000-000096050000}"/>
    <cellStyle name="Total 13 2" xfId="1422" xr:uid="{00000000-0005-0000-0000-000097050000}"/>
    <cellStyle name="Total 14" xfId="1423" xr:uid="{00000000-0005-0000-0000-000098050000}"/>
    <cellStyle name="Total 14 2" xfId="1424" xr:uid="{00000000-0005-0000-0000-000099050000}"/>
    <cellStyle name="Total 15" xfId="1425" xr:uid="{00000000-0005-0000-0000-00009A050000}"/>
    <cellStyle name="Total 15 2" xfId="1426" xr:uid="{00000000-0005-0000-0000-00009B050000}"/>
    <cellStyle name="Total 16" xfId="1427" xr:uid="{00000000-0005-0000-0000-00009C050000}"/>
    <cellStyle name="Total 2" xfId="1428" xr:uid="{00000000-0005-0000-0000-00009D050000}"/>
    <cellStyle name="Total 2 2" xfId="1429" xr:uid="{00000000-0005-0000-0000-00009E050000}"/>
    <cellStyle name="Total 3" xfId="1430" xr:uid="{00000000-0005-0000-0000-00009F050000}"/>
    <cellStyle name="Total 3 2" xfId="1431" xr:uid="{00000000-0005-0000-0000-0000A0050000}"/>
    <cellStyle name="Total 4" xfId="1432" xr:uid="{00000000-0005-0000-0000-0000A1050000}"/>
    <cellStyle name="Total 4 2" xfId="1433" xr:uid="{00000000-0005-0000-0000-0000A2050000}"/>
    <cellStyle name="Total 5" xfId="1434" xr:uid="{00000000-0005-0000-0000-0000A3050000}"/>
    <cellStyle name="Total 5 2" xfId="1435" xr:uid="{00000000-0005-0000-0000-0000A4050000}"/>
    <cellStyle name="Total 6" xfId="1436" xr:uid="{00000000-0005-0000-0000-0000A5050000}"/>
    <cellStyle name="Total 6 2" xfId="1437" xr:uid="{00000000-0005-0000-0000-0000A6050000}"/>
    <cellStyle name="Total 7" xfId="1438" xr:uid="{00000000-0005-0000-0000-0000A7050000}"/>
    <cellStyle name="Total 7 2" xfId="1439" xr:uid="{00000000-0005-0000-0000-0000A8050000}"/>
    <cellStyle name="Total 8" xfId="1440" xr:uid="{00000000-0005-0000-0000-0000A9050000}"/>
    <cellStyle name="Total 8 2" xfId="1441" xr:uid="{00000000-0005-0000-0000-0000AA050000}"/>
    <cellStyle name="Total 9" xfId="1442" xr:uid="{00000000-0005-0000-0000-0000AB050000}"/>
    <cellStyle name="Total 9 2" xfId="1443" xr:uid="{00000000-0005-0000-0000-0000AC050000}"/>
    <cellStyle name="Warning Text 10" xfId="1444" xr:uid="{00000000-0005-0000-0000-0000AD050000}"/>
    <cellStyle name="Warning Text 11" xfId="1445" xr:uid="{00000000-0005-0000-0000-0000AE050000}"/>
    <cellStyle name="Warning Text 12" xfId="1446" xr:uid="{00000000-0005-0000-0000-0000AF050000}"/>
    <cellStyle name="Warning Text 13" xfId="1447" xr:uid="{00000000-0005-0000-0000-0000B0050000}"/>
    <cellStyle name="Warning Text 14" xfId="1448" xr:uid="{00000000-0005-0000-0000-0000B1050000}"/>
    <cellStyle name="Warning Text 15" xfId="1449" xr:uid="{00000000-0005-0000-0000-0000B2050000}"/>
    <cellStyle name="Warning Text 16" xfId="1450" xr:uid="{00000000-0005-0000-0000-0000B3050000}"/>
    <cellStyle name="Warning Text 2" xfId="1451" xr:uid="{00000000-0005-0000-0000-0000B4050000}"/>
    <cellStyle name="Warning Text 3" xfId="1452" xr:uid="{00000000-0005-0000-0000-0000B5050000}"/>
    <cellStyle name="Warning Text 4" xfId="1453" xr:uid="{00000000-0005-0000-0000-0000B6050000}"/>
    <cellStyle name="Warning Text 5" xfId="1454" xr:uid="{00000000-0005-0000-0000-0000B7050000}"/>
    <cellStyle name="Warning Text 6" xfId="1455" xr:uid="{00000000-0005-0000-0000-0000B8050000}"/>
    <cellStyle name="Warning Text 7" xfId="1456" xr:uid="{00000000-0005-0000-0000-0000B9050000}"/>
    <cellStyle name="Warning Text 8" xfId="1457" xr:uid="{00000000-0005-0000-0000-0000BA050000}"/>
    <cellStyle name="Warning Text 9" xfId="1458" xr:uid="{00000000-0005-0000-0000-0000BB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tabColor theme="9" tint="0.79998168889431442"/>
    <pageSetUpPr fitToPage="1"/>
  </sheetPr>
  <dimension ref="A1:N205"/>
  <sheetViews>
    <sheetView zoomScale="90" zoomScaleNormal="90" zoomScaleSheetLayoutView="40" zoomScalePageLayoutView="55" workbookViewId="0">
      <selection activeCell="H1" sqref="H1:H1048576"/>
    </sheetView>
  </sheetViews>
  <sheetFormatPr defaultRowHeight="15.75" x14ac:dyDescent="0.2"/>
  <cols>
    <col min="1" max="1" width="11.7109375" style="327" customWidth="1"/>
    <col min="2" max="2" width="40.28515625" style="327" customWidth="1"/>
    <col min="3" max="3" width="16.85546875" style="327" customWidth="1"/>
    <col min="4" max="4" width="15.140625" style="475" customWidth="1"/>
    <col min="5" max="5" width="18.140625" style="737" customWidth="1"/>
    <col min="6" max="6" width="18.28515625" style="475" customWidth="1"/>
    <col min="7" max="7" width="17.85546875" style="737" customWidth="1"/>
    <col min="8" max="8" width="19.85546875" style="620" hidden="1" customWidth="1"/>
    <col min="9" max="9" width="14.28515625" style="475" customWidth="1"/>
    <col min="10" max="10" width="11.85546875" style="475" customWidth="1"/>
    <col min="11" max="11" width="46.140625" style="475" customWidth="1"/>
    <col min="12" max="13" width="11.85546875" style="475" customWidth="1"/>
    <col min="14" max="14" width="51.140625" style="475" customWidth="1"/>
    <col min="15" max="15" width="14.42578125" style="327" customWidth="1"/>
    <col min="16" max="16384" width="9.140625" style="327"/>
  </cols>
  <sheetData>
    <row r="1" spans="1:14" ht="126" x14ac:dyDescent="0.2">
      <c r="A1" s="433" t="s">
        <v>0</v>
      </c>
      <c r="B1" s="434" t="s">
        <v>709</v>
      </c>
      <c r="C1" s="202" t="s">
        <v>713</v>
      </c>
      <c r="D1" s="202" t="s">
        <v>716</v>
      </c>
      <c r="E1" s="735" t="s">
        <v>813</v>
      </c>
      <c r="F1" s="478" t="s">
        <v>814</v>
      </c>
      <c r="G1" s="735" t="s">
        <v>815</v>
      </c>
      <c r="H1" s="605"/>
      <c r="I1" s="435" t="s">
        <v>715</v>
      </c>
      <c r="J1" s="264" t="s">
        <v>718</v>
      </c>
      <c r="K1" s="202" t="s">
        <v>886</v>
      </c>
      <c r="L1" s="436" t="s">
        <v>721</v>
      </c>
      <c r="M1" s="264" t="s">
        <v>719</v>
      </c>
      <c r="N1" s="202" t="s">
        <v>886</v>
      </c>
    </row>
    <row r="2" spans="1:14" x14ac:dyDescent="0.2">
      <c r="A2" s="433">
        <v>1</v>
      </c>
      <c r="B2" s="434">
        <v>2</v>
      </c>
      <c r="C2" s="202">
        <v>3</v>
      </c>
      <c r="D2" s="202">
        <v>4</v>
      </c>
      <c r="E2" s="736">
        <v>5</v>
      </c>
      <c r="F2" s="202">
        <v>6</v>
      </c>
      <c r="G2" s="736">
        <v>7</v>
      </c>
      <c r="H2" s="606"/>
      <c r="I2" s="435">
        <v>8</v>
      </c>
      <c r="J2" s="265">
        <v>9</v>
      </c>
      <c r="K2" s="202">
        <v>10</v>
      </c>
      <c r="L2" s="436">
        <v>11</v>
      </c>
      <c r="M2" s="265">
        <v>12</v>
      </c>
      <c r="N2" s="202">
        <v>13</v>
      </c>
    </row>
    <row r="3" spans="1:14" ht="31.5" x14ac:dyDescent="0.2">
      <c r="A3" s="437" t="s">
        <v>1</v>
      </c>
      <c r="B3" s="464" t="s">
        <v>2</v>
      </c>
      <c r="C3" s="280">
        <f>C4+C22+C25+C29+C30+C31+C32+C33</f>
        <v>19573123.769999996</v>
      </c>
      <c r="D3" s="276">
        <v>22715109.057500001</v>
      </c>
      <c r="E3" s="280">
        <v>19573123.769999996</v>
      </c>
      <c r="F3" s="280">
        <v>22715109.057500001</v>
      </c>
      <c r="G3" s="280">
        <f>G4+G22+G25+G29+G30+G31+G32+G33</f>
        <v>22441270.010000002</v>
      </c>
      <c r="H3" s="607"/>
      <c r="I3" s="277">
        <f>G3-F3</f>
        <v>-273839.0474999994</v>
      </c>
      <c r="J3" s="266">
        <f>IFERROR(I3/ABS(F3), "-")</f>
        <v>-1.2055370141821269E-2</v>
      </c>
      <c r="K3" s="671"/>
      <c r="L3" s="277">
        <f>G3-E3</f>
        <v>2868146.2400000058</v>
      </c>
      <c r="M3" s="266">
        <f>IFERROR(L3/ABS(E3), "-")</f>
        <v>0.14653492583519317</v>
      </c>
      <c r="N3" s="671"/>
    </row>
    <row r="4" spans="1:14" s="439" customFormat="1" x14ac:dyDescent="0.2">
      <c r="A4" s="438" t="s">
        <v>118</v>
      </c>
      <c r="B4" s="459" t="s">
        <v>3</v>
      </c>
      <c r="C4" s="280">
        <f>C5+C10+C13+C16+C21</f>
        <v>17291555.619999997</v>
      </c>
      <c r="D4" s="276">
        <v>20323993.105</v>
      </c>
      <c r="E4" s="280">
        <v>17291555.619999997</v>
      </c>
      <c r="F4" s="280">
        <v>20323993.105</v>
      </c>
      <c r="G4" s="280">
        <f>G5+G10+G13+G16+G21</f>
        <v>20093657</v>
      </c>
      <c r="H4" s="607"/>
      <c r="I4" s="277">
        <f>G4-F4</f>
        <v>-230336.10500000045</v>
      </c>
      <c r="J4" s="266">
        <f>IFERROR(I4/ABS(F4), "-")</f>
        <v>-1.1333211136709861E-2</v>
      </c>
      <c r="K4" s="671"/>
      <c r="L4" s="277">
        <f t="shared" ref="L4:L67" si="0">G4-E4</f>
        <v>2802101.3800000027</v>
      </c>
      <c r="M4" s="266">
        <f t="shared" ref="M4:M67" si="1">IFERROR(L4/ABS(E4), "-")</f>
        <v>0.16205027711670994</v>
      </c>
      <c r="N4" s="671"/>
    </row>
    <row r="5" spans="1:14" s="439" customFormat="1" ht="31.5" x14ac:dyDescent="0.2">
      <c r="A5" s="438" t="s">
        <v>119</v>
      </c>
      <c r="B5" s="459" t="s">
        <v>120</v>
      </c>
      <c r="C5" s="280">
        <f>SUM(C6:C9)</f>
        <v>16562645.499999998</v>
      </c>
      <c r="D5" s="276">
        <v>19451455</v>
      </c>
      <c r="E5" s="280">
        <v>16562645.499999998</v>
      </c>
      <c r="F5" s="280">
        <v>19451455</v>
      </c>
      <c r="G5" s="280">
        <f>G6+G7+G8+G9</f>
        <v>19094784</v>
      </c>
      <c r="H5" s="607"/>
      <c r="I5" s="277">
        <f t="shared" ref="I5:I68" si="2">G5-F5</f>
        <v>-356671</v>
      </c>
      <c r="J5" s="266">
        <f t="shared" ref="J5:J68" si="3">IFERROR(I5/ABS(F5), "-")</f>
        <v>-1.8336468917106715E-2</v>
      </c>
      <c r="K5" s="672"/>
      <c r="L5" s="277">
        <f t="shared" si="0"/>
        <v>2532138.5000000019</v>
      </c>
      <c r="M5" s="266">
        <f>IFERROR(L5/ABS(E5), "-")</f>
        <v>0.15288249090400458</v>
      </c>
      <c r="N5" s="672"/>
    </row>
    <row r="6" spans="1:14" s="588" customFormat="1" ht="78.75" x14ac:dyDescent="0.2">
      <c r="A6" s="584" t="s">
        <v>121</v>
      </c>
      <c r="B6" s="589" t="s">
        <v>812</v>
      </c>
      <c r="C6" s="294">
        <v>15331667.439999999</v>
      </c>
      <c r="D6" s="585">
        <f>D5-D7-D8-D9</f>
        <v>17891543</v>
      </c>
      <c r="E6" s="582">
        <v>15331667.439999999</v>
      </c>
      <c r="F6" s="582">
        <f>F5-F7-F8-F9</f>
        <v>17891543</v>
      </c>
      <c r="G6" s="582">
        <v>17718090</v>
      </c>
      <c r="H6" s="608"/>
      <c r="I6" s="586">
        <f>G6-F6</f>
        <v>-173453</v>
      </c>
      <c r="J6" s="275">
        <f t="shared" si="3"/>
        <v>-9.6946920676433557E-3</v>
      </c>
      <c r="K6" s="672"/>
      <c r="L6" s="587">
        <f>G6-E6</f>
        <v>2386422.5600000005</v>
      </c>
      <c r="M6" s="295">
        <f>IFERROR(L6/ABS(E6), "-")</f>
        <v>0.1556531648849801</v>
      </c>
      <c r="N6" s="673" t="s">
        <v>823</v>
      </c>
    </row>
    <row r="7" spans="1:14" ht="31.5" x14ac:dyDescent="0.2">
      <c r="A7" s="440" t="s">
        <v>122</v>
      </c>
      <c r="B7" s="472" t="s">
        <v>5</v>
      </c>
      <c r="C7" s="294">
        <v>50870.35</v>
      </c>
      <c r="D7" s="267">
        <v>62888</v>
      </c>
      <c r="E7" s="294">
        <v>50870.35</v>
      </c>
      <c r="F7" s="294">
        <v>62888</v>
      </c>
      <c r="G7" s="294">
        <v>69063</v>
      </c>
      <c r="H7" s="609"/>
      <c r="I7" s="277">
        <f>G7-F7</f>
        <v>6175</v>
      </c>
      <c r="J7" s="266">
        <f t="shared" si="3"/>
        <v>9.8190433787049988E-2</v>
      </c>
      <c r="K7" s="664" t="s">
        <v>796</v>
      </c>
      <c r="L7" s="268">
        <f t="shared" si="0"/>
        <v>18192.650000000001</v>
      </c>
      <c r="M7" s="269">
        <f t="shared" si="1"/>
        <v>0.35762777334930862</v>
      </c>
      <c r="N7" s="664" t="s">
        <v>796</v>
      </c>
    </row>
    <row r="8" spans="1:14" ht="31.5" x14ac:dyDescent="0.2">
      <c r="A8" s="440" t="s">
        <v>123</v>
      </c>
      <c r="B8" s="472" t="s">
        <v>6</v>
      </c>
      <c r="C8" s="294">
        <v>1164198.6100000001</v>
      </c>
      <c r="D8" s="267">
        <v>1471146</v>
      </c>
      <c r="E8" s="294">
        <v>1164198.6100000001</v>
      </c>
      <c r="F8" s="294">
        <v>1471146</v>
      </c>
      <c r="G8" s="294">
        <v>1294101</v>
      </c>
      <c r="H8" s="609"/>
      <c r="I8" s="277">
        <f t="shared" si="2"/>
        <v>-177045</v>
      </c>
      <c r="J8" s="266">
        <f t="shared" si="3"/>
        <v>-0.12034495556525321</v>
      </c>
      <c r="K8" s="664" t="s">
        <v>773</v>
      </c>
      <c r="L8" s="268">
        <f t="shared" si="0"/>
        <v>129902.3899999999</v>
      </c>
      <c r="M8" s="269">
        <f t="shared" si="1"/>
        <v>0.11158095266923561</v>
      </c>
      <c r="N8" s="664" t="s">
        <v>797</v>
      </c>
    </row>
    <row r="9" spans="1:14" ht="31.5" x14ac:dyDescent="0.2">
      <c r="A9" s="440" t="s">
        <v>124</v>
      </c>
      <c r="B9" s="472" t="s">
        <v>7</v>
      </c>
      <c r="C9" s="294">
        <v>15909.1</v>
      </c>
      <c r="D9" s="267">
        <v>25878</v>
      </c>
      <c r="E9" s="294">
        <v>15909.1</v>
      </c>
      <c r="F9" s="294">
        <v>25878</v>
      </c>
      <c r="G9" s="294">
        <v>13530</v>
      </c>
      <c r="H9" s="609"/>
      <c r="I9" s="277">
        <f t="shared" si="2"/>
        <v>-12348</v>
      </c>
      <c r="J9" s="266">
        <f t="shared" si="3"/>
        <v>-0.47716206816600976</v>
      </c>
      <c r="K9" s="664" t="s">
        <v>773</v>
      </c>
      <c r="L9" s="268">
        <f t="shared" si="0"/>
        <v>-2379.1000000000004</v>
      </c>
      <c r="M9" s="269">
        <f t="shared" si="1"/>
        <v>-0.14954334311808967</v>
      </c>
      <c r="N9" s="664" t="s">
        <v>773</v>
      </c>
    </row>
    <row r="10" spans="1:14" x14ac:dyDescent="0.2">
      <c r="A10" s="438" t="s">
        <v>125</v>
      </c>
      <c r="B10" s="459" t="s">
        <v>126</v>
      </c>
      <c r="C10" s="280">
        <v>0</v>
      </c>
      <c r="D10" s="276">
        <v>0</v>
      </c>
      <c r="E10" s="280">
        <v>0</v>
      </c>
      <c r="F10" s="280">
        <v>0</v>
      </c>
      <c r="G10" s="280">
        <v>0</v>
      </c>
      <c r="H10" s="607"/>
      <c r="I10" s="277">
        <f t="shared" si="2"/>
        <v>0</v>
      </c>
      <c r="J10" s="266" t="str">
        <f t="shared" si="3"/>
        <v>-</v>
      </c>
      <c r="K10" s="746"/>
      <c r="L10" s="277">
        <f t="shared" si="0"/>
        <v>0</v>
      </c>
      <c r="M10" s="266" t="str">
        <f t="shared" si="1"/>
        <v>-</v>
      </c>
      <c r="N10" s="746"/>
    </row>
    <row r="11" spans="1:14" x14ac:dyDescent="0.2">
      <c r="A11" s="440" t="s">
        <v>127</v>
      </c>
      <c r="B11" s="472" t="s">
        <v>128</v>
      </c>
      <c r="C11" s="294">
        <v>0</v>
      </c>
      <c r="D11" s="267">
        <v>0</v>
      </c>
      <c r="E11" s="294">
        <v>0</v>
      </c>
      <c r="F11" s="294">
        <v>0</v>
      </c>
      <c r="G11" s="294">
        <v>0</v>
      </c>
      <c r="H11" s="609"/>
      <c r="I11" s="277">
        <f t="shared" si="2"/>
        <v>0</v>
      </c>
      <c r="J11" s="266" t="str">
        <f t="shared" si="3"/>
        <v>-</v>
      </c>
      <c r="K11" s="747"/>
      <c r="L11" s="268">
        <f t="shared" si="0"/>
        <v>0</v>
      </c>
      <c r="M11" s="269" t="str">
        <f t="shared" si="1"/>
        <v>-</v>
      </c>
      <c r="N11" s="747"/>
    </row>
    <row r="12" spans="1:14" ht="15" customHeight="1" x14ac:dyDescent="0.2">
      <c r="A12" s="440" t="s">
        <v>129</v>
      </c>
      <c r="B12" s="472" t="s">
        <v>130</v>
      </c>
      <c r="C12" s="294">
        <v>0</v>
      </c>
      <c r="D12" s="267">
        <v>0</v>
      </c>
      <c r="E12" s="294">
        <v>0</v>
      </c>
      <c r="F12" s="294">
        <v>0</v>
      </c>
      <c r="G12" s="294">
        <v>0</v>
      </c>
      <c r="H12" s="609"/>
      <c r="I12" s="277">
        <f t="shared" si="2"/>
        <v>0</v>
      </c>
      <c r="J12" s="266" t="str">
        <f t="shared" si="3"/>
        <v>-</v>
      </c>
      <c r="K12" s="748"/>
      <c r="L12" s="268">
        <f t="shared" si="0"/>
        <v>0</v>
      </c>
      <c r="M12" s="269" t="str">
        <f t="shared" si="1"/>
        <v>-</v>
      </c>
      <c r="N12" s="748"/>
    </row>
    <row r="13" spans="1:14" ht="31.5" x14ac:dyDescent="0.2">
      <c r="A13" s="438" t="s">
        <v>131</v>
      </c>
      <c r="B13" s="459" t="s">
        <v>132</v>
      </c>
      <c r="C13" s="280">
        <f t="shared" ref="C13" si="4">SUM(C14:C15)</f>
        <v>580158.36999999988</v>
      </c>
      <c r="D13" s="276">
        <v>708911.17999999993</v>
      </c>
      <c r="E13" s="280">
        <v>580158.36999999988</v>
      </c>
      <c r="F13" s="280">
        <v>708911.17999999993</v>
      </c>
      <c r="G13" s="280">
        <f t="shared" ref="G13" si="5">SUM(G14:G15)</f>
        <v>753758</v>
      </c>
      <c r="H13" s="607"/>
      <c r="I13" s="277">
        <f>G13-F13</f>
        <v>44846.820000000065</v>
      </c>
      <c r="J13" s="266">
        <f t="shared" si="3"/>
        <v>6.32615499165919E-2</v>
      </c>
      <c r="K13" s="750" t="s">
        <v>794</v>
      </c>
      <c r="L13" s="277">
        <f t="shared" si="0"/>
        <v>173599.63000000012</v>
      </c>
      <c r="M13" s="266">
        <f t="shared" si="1"/>
        <v>0.29922800217464784</v>
      </c>
      <c r="N13" s="750" t="s">
        <v>770</v>
      </c>
    </row>
    <row r="14" spans="1:14" ht="148.5" customHeight="1" x14ac:dyDescent="0.2">
      <c r="A14" s="440" t="s">
        <v>133</v>
      </c>
      <c r="B14" s="472" t="s">
        <v>134</v>
      </c>
      <c r="C14" s="294">
        <f>576970.72+1612.19+1575.46</f>
        <v>580158.36999999988</v>
      </c>
      <c r="D14" s="267">
        <v>708911.17999999993</v>
      </c>
      <c r="E14" s="294">
        <v>580158.36999999988</v>
      </c>
      <c r="F14" s="294">
        <v>708911.17999999993</v>
      </c>
      <c r="G14" s="294">
        <v>753758</v>
      </c>
      <c r="H14" s="609"/>
      <c r="I14" s="277">
        <f t="shared" si="2"/>
        <v>44846.820000000065</v>
      </c>
      <c r="J14" s="266">
        <f t="shared" si="3"/>
        <v>6.32615499165919E-2</v>
      </c>
      <c r="K14" s="751"/>
      <c r="L14" s="268">
        <f t="shared" si="0"/>
        <v>173599.63000000012</v>
      </c>
      <c r="M14" s="269">
        <f t="shared" si="1"/>
        <v>0.29922800217464784</v>
      </c>
      <c r="N14" s="751"/>
    </row>
    <row r="15" spans="1:14" ht="33.75" customHeight="1" x14ac:dyDescent="0.2">
      <c r="A15" s="440" t="s">
        <v>135</v>
      </c>
      <c r="B15" s="472" t="s">
        <v>417</v>
      </c>
      <c r="C15" s="294">
        <v>0</v>
      </c>
      <c r="D15" s="267">
        <v>0</v>
      </c>
      <c r="E15" s="294">
        <v>0</v>
      </c>
      <c r="F15" s="294">
        <v>0</v>
      </c>
      <c r="G15" s="294">
        <v>0</v>
      </c>
      <c r="H15" s="609"/>
      <c r="I15" s="277">
        <f t="shared" si="2"/>
        <v>0</v>
      </c>
      <c r="J15" s="266" t="str">
        <f t="shared" si="3"/>
        <v>-</v>
      </c>
      <c r="K15" s="752"/>
      <c r="L15" s="268">
        <f t="shared" si="0"/>
        <v>0</v>
      </c>
      <c r="M15" s="269" t="str">
        <f t="shared" si="1"/>
        <v>-</v>
      </c>
      <c r="N15" s="752"/>
    </row>
    <row r="16" spans="1:14" x14ac:dyDescent="0.2">
      <c r="A16" s="438" t="s">
        <v>136</v>
      </c>
      <c r="B16" s="459" t="s">
        <v>107</v>
      </c>
      <c r="C16" s="280">
        <f t="shared" ref="C16" si="6">SUM(C17:C20)</f>
        <v>148751.75</v>
      </c>
      <c r="D16" s="276">
        <v>163626.92499999999</v>
      </c>
      <c r="E16" s="280">
        <v>148751.75</v>
      </c>
      <c r="F16" s="280">
        <v>163626.92499999999</v>
      </c>
      <c r="G16" s="280">
        <f t="shared" ref="G16" si="7">SUM(G17:G20)</f>
        <v>245115</v>
      </c>
      <c r="H16" s="607"/>
      <c r="I16" s="277">
        <f t="shared" si="2"/>
        <v>81488.075000000012</v>
      </c>
      <c r="J16" s="266">
        <f t="shared" si="3"/>
        <v>0.49801140613013423</v>
      </c>
      <c r="K16" s="741" t="s">
        <v>648</v>
      </c>
      <c r="L16" s="277">
        <f t="shared" si="0"/>
        <v>96363.25</v>
      </c>
      <c r="M16" s="266">
        <f t="shared" si="1"/>
        <v>0.64781254674314759</v>
      </c>
      <c r="N16" s="741" t="s">
        <v>648</v>
      </c>
    </row>
    <row r="17" spans="1:14" x14ac:dyDescent="0.2">
      <c r="A17" s="440" t="s">
        <v>137</v>
      </c>
      <c r="B17" s="472" t="s">
        <v>8</v>
      </c>
      <c r="C17" s="294">
        <v>0</v>
      </c>
      <c r="D17" s="267">
        <v>0</v>
      </c>
      <c r="E17" s="294">
        <v>0</v>
      </c>
      <c r="F17" s="294">
        <v>0</v>
      </c>
      <c r="G17" s="294">
        <v>0</v>
      </c>
      <c r="H17" s="609"/>
      <c r="I17" s="277">
        <f t="shared" si="2"/>
        <v>0</v>
      </c>
      <c r="J17" s="266" t="str">
        <f t="shared" si="3"/>
        <v>-</v>
      </c>
      <c r="K17" s="742"/>
      <c r="L17" s="268">
        <f t="shared" si="0"/>
        <v>0</v>
      </c>
      <c r="M17" s="269" t="str">
        <f t="shared" si="1"/>
        <v>-</v>
      </c>
      <c r="N17" s="742"/>
    </row>
    <row r="18" spans="1:14" ht="31.5" x14ac:dyDescent="0.2">
      <c r="A18" s="440" t="s">
        <v>138</v>
      </c>
      <c r="B18" s="590" t="s">
        <v>9</v>
      </c>
      <c r="C18" s="321">
        <v>148751.75</v>
      </c>
      <c r="D18" s="267">
        <v>163626.92499999999</v>
      </c>
      <c r="E18" s="321">
        <v>148751.75</v>
      </c>
      <c r="F18" s="294">
        <v>163626.92499999999</v>
      </c>
      <c r="G18" s="321">
        <v>245115</v>
      </c>
      <c r="H18" s="610"/>
      <c r="I18" s="277">
        <f t="shared" si="2"/>
        <v>81488.075000000012</v>
      </c>
      <c r="J18" s="266">
        <f t="shared" si="3"/>
        <v>0.49801140613013423</v>
      </c>
      <c r="K18" s="742"/>
      <c r="L18" s="268">
        <f t="shared" si="0"/>
        <v>96363.25</v>
      </c>
      <c r="M18" s="269">
        <f t="shared" si="1"/>
        <v>0.64781254674314759</v>
      </c>
      <c r="N18" s="742"/>
    </row>
    <row r="19" spans="1:14" ht="31.5" x14ac:dyDescent="0.2">
      <c r="A19" s="440" t="s">
        <v>139</v>
      </c>
      <c r="B19" s="472" t="s">
        <v>11</v>
      </c>
      <c r="C19" s="294">
        <v>0</v>
      </c>
      <c r="D19" s="267">
        <v>0</v>
      </c>
      <c r="E19" s="294">
        <v>0</v>
      </c>
      <c r="F19" s="294">
        <v>0</v>
      </c>
      <c r="G19" s="294">
        <v>0</v>
      </c>
      <c r="H19" s="609"/>
      <c r="I19" s="277">
        <f t="shared" si="2"/>
        <v>0</v>
      </c>
      <c r="J19" s="266" t="str">
        <f t="shared" si="3"/>
        <v>-</v>
      </c>
      <c r="K19" s="742"/>
      <c r="L19" s="268">
        <f t="shared" si="0"/>
        <v>0</v>
      </c>
      <c r="M19" s="269" t="str">
        <f t="shared" si="1"/>
        <v>-</v>
      </c>
      <c r="N19" s="742"/>
    </row>
    <row r="20" spans="1:14" x14ac:dyDescent="0.2">
      <c r="A20" s="440" t="s">
        <v>140</v>
      </c>
      <c r="B20" s="472" t="s">
        <v>12</v>
      </c>
      <c r="C20" s="294">
        <v>0</v>
      </c>
      <c r="D20" s="267">
        <v>0</v>
      </c>
      <c r="E20" s="294">
        <v>0</v>
      </c>
      <c r="F20" s="294">
        <v>0</v>
      </c>
      <c r="G20" s="294">
        <v>0</v>
      </c>
      <c r="H20" s="609"/>
      <c r="I20" s="277">
        <f t="shared" si="2"/>
        <v>0</v>
      </c>
      <c r="J20" s="266" t="str">
        <f t="shared" si="3"/>
        <v>-</v>
      </c>
      <c r="K20" s="743"/>
      <c r="L20" s="268">
        <f t="shared" si="0"/>
        <v>0</v>
      </c>
      <c r="M20" s="269" t="str">
        <f t="shared" si="1"/>
        <v>-</v>
      </c>
      <c r="N20" s="743"/>
    </row>
    <row r="21" spans="1:14" ht="31.5" x14ac:dyDescent="0.2">
      <c r="A21" s="438" t="s">
        <v>412</v>
      </c>
      <c r="B21" s="459" t="s">
        <v>413</v>
      </c>
      <c r="C21" s="292">
        <v>0</v>
      </c>
      <c r="D21" s="270">
        <v>0</v>
      </c>
      <c r="E21" s="292">
        <v>0</v>
      </c>
      <c r="F21" s="292">
        <v>0</v>
      </c>
      <c r="G21" s="292">
        <v>0</v>
      </c>
      <c r="H21" s="611"/>
      <c r="I21" s="277">
        <f t="shared" si="2"/>
        <v>0</v>
      </c>
      <c r="J21" s="266" t="str">
        <f t="shared" si="3"/>
        <v>-</v>
      </c>
      <c r="K21" s="674"/>
      <c r="L21" s="271">
        <f t="shared" si="0"/>
        <v>0</v>
      </c>
      <c r="M21" s="266" t="str">
        <f t="shared" si="1"/>
        <v>-</v>
      </c>
      <c r="N21" s="674"/>
    </row>
    <row r="22" spans="1:14" s="439" customFormat="1" x14ac:dyDescent="0.2">
      <c r="A22" s="438" t="s">
        <v>141</v>
      </c>
      <c r="B22" s="459" t="s">
        <v>13</v>
      </c>
      <c r="C22" s="280">
        <v>0</v>
      </c>
      <c r="D22" s="276">
        <v>0</v>
      </c>
      <c r="E22" s="280">
        <v>0</v>
      </c>
      <c r="F22" s="280">
        <v>0</v>
      </c>
      <c r="G22" s="280">
        <v>0</v>
      </c>
      <c r="H22" s="607"/>
      <c r="I22" s="277">
        <f t="shared" si="2"/>
        <v>0</v>
      </c>
      <c r="J22" s="266" t="str">
        <f t="shared" si="3"/>
        <v>-</v>
      </c>
      <c r="K22" s="746"/>
      <c r="L22" s="277">
        <f t="shared" si="0"/>
        <v>0</v>
      </c>
      <c r="M22" s="266" t="str">
        <f t="shared" si="1"/>
        <v>-</v>
      </c>
      <c r="N22" s="746"/>
    </row>
    <row r="23" spans="1:14" x14ac:dyDescent="0.2">
      <c r="A23" s="440" t="s">
        <v>142</v>
      </c>
      <c r="B23" s="472" t="s">
        <v>415</v>
      </c>
      <c r="C23" s="294">
        <v>0</v>
      </c>
      <c r="D23" s="267">
        <v>0</v>
      </c>
      <c r="E23" s="294">
        <v>0</v>
      </c>
      <c r="F23" s="294">
        <v>0</v>
      </c>
      <c r="G23" s="294">
        <v>0</v>
      </c>
      <c r="H23" s="609"/>
      <c r="I23" s="277">
        <f t="shared" si="2"/>
        <v>0</v>
      </c>
      <c r="J23" s="266" t="str">
        <f t="shared" si="3"/>
        <v>-</v>
      </c>
      <c r="K23" s="747"/>
      <c r="L23" s="268">
        <f t="shared" si="0"/>
        <v>0</v>
      </c>
      <c r="M23" s="269" t="str">
        <f t="shared" si="1"/>
        <v>-</v>
      </c>
      <c r="N23" s="747"/>
    </row>
    <row r="24" spans="1:14" x14ac:dyDescent="0.2">
      <c r="A24" s="440" t="s">
        <v>414</v>
      </c>
      <c r="B24" s="472" t="s">
        <v>416</v>
      </c>
      <c r="C24" s="294">
        <v>0</v>
      </c>
      <c r="D24" s="267">
        <v>0</v>
      </c>
      <c r="E24" s="294">
        <v>0</v>
      </c>
      <c r="F24" s="294">
        <v>0</v>
      </c>
      <c r="G24" s="294">
        <v>0</v>
      </c>
      <c r="H24" s="609"/>
      <c r="I24" s="277">
        <f t="shared" si="2"/>
        <v>0</v>
      </c>
      <c r="J24" s="266" t="str">
        <f t="shared" si="3"/>
        <v>-</v>
      </c>
      <c r="K24" s="748"/>
      <c r="L24" s="268">
        <f t="shared" si="0"/>
        <v>0</v>
      </c>
      <c r="M24" s="269" t="str">
        <f t="shared" si="1"/>
        <v>-</v>
      </c>
      <c r="N24" s="748"/>
    </row>
    <row r="25" spans="1:14" s="439" customFormat="1" x14ac:dyDescent="0.2">
      <c r="A25" s="438" t="s">
        <v>143</v>
      </c>
      <c r="B25" s="459" t="s">
        <v>14</v>
      </c>
      <c r="C25" s="280">
        <f t="shared" ref="C25" si="8">SUM(C26:C28)</f>
        <v>1289198.8399999999</v>
      </c>
      <c r="D25" s="276">
        <v>1402227.3847000003</v>
      </c>
      <c r="E25" s="280">
        <v>1289198.8399999999</v>
      </c>
      <c r="F25" s="280">
        <v>1402227.3847000003</v>
      </c>
      <c r="G25" s="280">
        <f>SUM(G26:G28)</f>
        <v>1363359</v>
      </c>
      <c r="H25" s="607"/>
      <c r="I25" s="277">
        <f t="shared" si="2"/>
        <v>-38868.384700000286</v>
      </c>
      <c r="J25" s="266">
        <f t="shared" si="3"/>
        <v>-2.771903125277787E-2</v>
      </c>
      <c r="K25" s="753"/>
      <c r="L25" s="277">
        <f t="shared" si="0"/>
        <v>74160.160000000149</v>
      </c>
      <c r="M25" s="266">
        <f t="shared" si="1"/>
        <v>5.7524221787230399E-2</v>
      </c>
      <c r="N25" s="741" t="s">
        <v>809</v>
      </c>
    </row>
    <row r="26" spans="1:14" x14ac:dyDescent="0.2">
      <c r="A26" s="440" t="s">
        <v>290</v>
      </c>
      <c r="B26" s="472" t="s">
        <v>144</v>
      </c>
      <c r="C26" s="294">
        <v>1064577.71</v>
      </c>
      <c r="D26" s="267">
        <v>1170782.4810000001</v>
      </c>
      <c r="E26" s="294">
        <v>1064577.71</v>
      </c>
      <c r="F26" s="294">
        <v>1170782.4810000001</v>
      </c>
      <c r="G26" s="294">
        <v>1123394</v>
      </c>
      <c r="H26" s="609"/>
      <c r="I26" s="277">
        <f t="shared" si="2"/>
        <v>-47388.481000000145</v>
      </c>
      <c r="J26" s="266">
        <f t="shared" si="3"/>
        <v>-4.0475905447034222E-2</v>
      </c>
      <c r="K26" s="754"/>
      <c r="L26" s="268">
        <f t="shared" si="0"/>
        <v>58816.290000000037</v>
      </c>
      <c r="M26" s="269">
        <f t="shared" si="1"/>
        <v>5.5248470306597006E-2</v>
      </c>
      <c r="N26" s="759"/>
    </row>
    <row r="27" spans="1:14" x14ac:dyDescent="0.2">
      <c r="A27" s="440" t="s">
        <v>291</v>
      </c>
      <c r="B27" s="472" t="s">
        <v>145</v>
      </c>
      <c r="C27" s="294"/>
      <c r="D27" s="267">
        <v>0</v>
      </c>
      <c r="E27" s="294"/>
      <c r="F27" s="294">
        <v>0</v>
      </c>
      <c r="G27" s="294"/>
      <c r="H27" s="609"/>
      <c r="I27" s="277">
        <f t="shared" si="2"/>
        <v>0</v>
      </c>
      <c r="J27" s="266" t="str">
        <f t="shared" si="3"/>
        <v>-</v>
      </c>
      <c r="K27" s="754"/>
      <c r="L27" s="268">
        <f t="shared" si="0"/>
        <v>0</v>
      </c>
      <c r="M27" s="269" t="str">
        <f t="shared" si="1"/>
        <v>-</v>
      </c>
      <c r="N27" s="759"/>
    </row>
    <row r="28" spans="1:14" x14ac:dyDescent="0.2">
      <c r="A28" s="440" t="s">
        <v>146</v>
      </c>
      <c r="B28" s="472" t="s">
        <v>15</v>
      </c>
      <c r="C28" s="294">
        <f>13.22+224607.91</f>
        <v>224621.13</v>
      </c>
      <c r="D28" s="267">
        <v>231444.90370000005</v>
      </c>
      <c r="E28" s="294">
        <v>224621.13</v>
      </c>
      <c r="F28" s="294">
        <v>231444.90370000005</v>
      </c>
      <c r="G28" s="294">
        <v>239965</v>
      </c>
      <c r="H28" s="609"/>
      <c r="I28" s="277">
        <f t="shared" si="2"/>
        <v>8520.0962999999465</v>
      </c>
      <c r="J28" s="266">
        <f t="shared" si="3"/>
        <v>3.6812633001605144E-2</v>
      </c>
      <c r="K28" s="755"/>
      <c r="L28" s="268">
        <f t="shared" si="0"/>
        <v>15343.869999999995</v>
      </c>
      <c r="M28" s="269">
        <f t="shared" si="1"/>
        <v>6.8310002714348353E-2</v>
      </c>
      <c r="N28" s="760"/>
    </row>
    <row r="29" spans="1:14" ht="31.5" x14ac:dyDescent="0.2">
      <c r="A29" s="441" t="s">
        <v>149</v>
      </c>
      <c r="B29" s="469" t="s">
        <v>16</v>
      </c>
      <c r="C29" s="322">
        <v>315558.73</v>
      </c>
      <c r="D29" s="272">
        <v>325025.49190000002</v>
      </c>
      <c r="E29" s="322">
        <v>315558.73</v>
      </c>
      <c r="F29" s="322">
        <v>325025.49190000002</v>
      </c>
      <c r="G29" s="322">
        <v>283252</v>
      </c>
      <c r="H29" s="612"/>
      <c r="I29" s="277">
        <f t="shared" si="2"/>
        <v>-41773.491900000023</v>
      </c>
      <c r="J29" s="266">
        <f t="shared" si="3"/>
        <v>-0.12852374026358646</v>
      </c>
      <c r="K29" s="675" t="s">
        <v>649</v>
      </c>
      <c r="L29" s="273">
        <f t="shared" si="0"/>
        <v>-32306.729999999981</v>
      </c>
      <c r="M29" s="274">
        <f t="shared" si="1"/>
        <v>-0.10237945247149392</v>
      </c>
      <c r="N29" s="675" t="s">
        <v>649</v>
      </c>
    </row>
    <row r="30" spans="1:14" ht="31.5" x14ac:dyDescent="0.2">
      <c r="A30" s="441" t="s">
        <v>150</v>
      </c>
      <c r="B30" s="469" t="s">
        <v>17</v>
      </c>
      <c r="C30" s="322">
        <v>297926.02</v>
      </c>
      <c r="D30" s="272">
        <v>307370.05590000004</v>
      </c>
      <c r="E30" s="322">
        <v>297926.02</v>
      </c>
      <c r="F30" s="322">
        <v>307370.05590000004</v>
      </c>
      <c r="G30" s="322">
        <f>310579+14</f>
        <v>310593</v>
      </c>
      <c r="H30" s="612"/>
      <c r="I30" s="277">
        <f t="shared" si="2"/>
        <v>3222.9440999999642</v>
      </c>
      <c r="J30" s="266">
        <f t="shared" si="3"/>
        <v>1.0485550033697879E-2</v>
      </c>
      <c r="K30" s="676"/>
      <c r="L30" s="273">
        <f t="shared" si="0"/>
        <v>12666.979999999981</v>
      </c>
      <c r="M30" s="274">
        <f t="shared" si="1"/>
        <v>4.2517199404066758E-2</v>
      </c>
      <c r="N30" s="676"/>
    </row>
    <row r="31" spans="1:14" x14ac:dyDescent="0.2">
      <c r="A31" s="441" t="s">
        <v>151</v>
      </c>
      <c r="B31" s="469" t="s">
        <v>18</v>
      </c>
      <c r="C31" s="322"/>
      <c r="D31" s="272">
        <v>0</v>
      </c>
      <c r="E31" s="322"/>
      <c r="F31" s="322">
        <v>0</v>
      </c>
      <c r="G31" s="322"/>
      <c r="H31" s="612"/>
      <c r="I31" s="277">
        <f t="shared" si="2"/>
        <v>0</v>
      </c>
      <c r="J31" s="266" t="str">
        <f t="shared" si="3"/>
        <v>-</v>
      </c>
      <c r="K31" s="674"/>
      <c r="L31" s="273">
        <f t="shared" si="0"/>
        <v>0</v>
      </c>
      <c r="M31" s="274" t="str">
        <f t="shared" si="1"/>
        <v>-</v>
      </c>
      <c r="N31" s="674"/>
    </row>
    <row r="32" spans="1:14" s="439" customFormat="1" x14ac:dyDescent="0.2">
      <c r="A32" s="441" t="s">
        <v>152</v>
      </c>
      <c r="B32" s="591" t="s">
        <v>19</v>
      </c>
      <c r="C32" s="323">
        <v>151034</v>
      </c>
      <c r="D32" s="272">
        <v>155565.01999999999</v>
      </c>
      <c r="E32" s="323">
        <v>151034</v>
      </c>
      <c r="F32" s="322">
        <v>155565.01999999999</v>
      </c>
      <c r="G32" s="323">
        <v>146564</v>
      </c>
      <c r="H32" s="613"/>
      <c r="I32" s="277">
        <f t="shared" si="2"/>
        <v>-9001.0199999999895</v>
      </c>
      <c r="J32" s="266">
        <f t="shared" si="3"/>
        <v>-5.7860179621356977E-2</v>
      </c>
      <c r="K32" s="675" t="s">
        <v>649</v>
      </c>
      <c r="L32" s="273">
        <f t="shared" si="0"/>
        <v>-4470</v>
      </c>
      <c r="M32" s="274">
        <f t="shared" si="1"/>
        <v>-2.9595985009997747E-2</v>
      </c>
      <c r="N32" s="676"/>
    </row>
    <row r="33" spans="1:14" s="442" customFormat="1" ht="47.25" x14ac:dyDescent="0.2">
      <c r="A33" s="443" t="s">
        <v>153</v>
      </c>
      <c r="B33" s="592" t="s">
        <v>332</v>
      </c>
      <c r="C33" s="324">
        <f>181845.94+46004.62</f>
        <v>227850.56</v>
      </c>
      <c r="D33" s="444">
        <v>200928</v>
      </c>
      <c r="E33" s="324">
        <v>227850.56</v>
      </c>
      <c r="F33" s="325">
        <v>200928</v>
      </c>
      <c r="G33" s="324">
        <f>210083+33762.01</f>
        <v>243845.01</v>
      </c>
      <c r="H33" s="614"/>
      <c r="I33" s="277">
        <f>G33-F33</f>
        <v>42917.010000000009</v>
      </c>
      <c r="J33" s="266">
        <f>IFERROR(I33/ABS(F33), "-")</f>
        <v>0.21359397396082183</v>
      </c>
      <c r="K33" s="676"/>
      <c r="L33" s="445">
        <f>G33-E33</f>
        <v>15994.450000000012</v>
      </c>
      <c r="M33" s="275">
        <f t="shared" si="1"/>
        <v>7.0197106384114277E-2</v>
      </c>
      <c r="N33" s="675" t="s">
        <v>824</v>
      </c>
    </row>
    <row r="34" spans="1:14" ht="47.25" x14ac:dyDescent="0.2">
      <c r="A34" s="437" t="s">
        <v>20</v>
      </c>
      <c r="B34" s="464" t="s">
        <v>342</v>
      </c>
      <c r="C34" s="280">
        <f>C35+C59+C150</f>
        <v>18214043.16</v>
      </c>
      <c r="D34" s="276">
        <v>21444158.740300003</v>
      </c>
      <c r="E34" s="280">
        <v>18214043.159999996</v>
      </c>
      <c r="F34" s="280">
        <v>21444158.740300003</v>
      </c>
      <c r="G34" s="280">
        <f>G35+G59+G150</f>
        <v>22097915.859999999</v>
      </c>
      <c r="H34" s="607"/>
      <c r="I34" s="277">
        <f t="shared" si="2"/>
        <v>653757.11969999596</v>
      </c>
      <c r="J34" s="266">
        <f t="shared" si="3"/>
        <v>3.0486489473303065E-2</v>
      </c>
      <c r="K34" s="671"/>
      <c r="L34" s="277">
        <f t="shared" si="0"/>
        <v>3883872.700000003</v>
      </c>
      <c r="M34" s="266">
        <f t="shared" si="1"/>
        <v>0.21323506625532801</v>
      </c>
      <c r="N34" s="671"/>
    </row>
    <row r="35" spans="1:14" s="439" customFormat="1" x14ac:dyDescent="0.2">
      <c r="A35" s="437" t="s">
        <v>21</v>
      </c>
      <c r="B35" s="459" t="s">
        <v>22</v>
      </c>
      <c r="C35" s="280">
        <v>11329719.67</v>
      </c>
      <c r="D35" s="276">
        <v>13939704.670000002</v>
      </c>
      <c r="E35" s="280">
        <v>11329719.669999998</v>
      </c>
      <c r="F35" s="280">
        <v>13939704.670000002</v>
      </c>
      <c r="G35" s="280">
        <v>14266574.629999999</v>
      </c>
      <c r="H35" s="607"/>
      <c r="I35" s="277">
        <f t="shared" si="2"/>
        <v>326869.95999999717</v>
      </c>
      <c r="J35" s="278">
        <f t="shared" si="3"/>
        <v>2.3448843984726766E-2</v>
      </c>
      <c r="K35" s="671"/>
      <c r="L35" s="277">
        <f t="shared" si="0"/>
        <v>2936854.9600000009</v>
      </c>
      <c r="M35" s="278">
        <f t="shared" si="1"/>
        <v>0.25921691317539908</v>
      </c>
      <c r="N35" s="671"/>
    </row>
    <row r="36" spans="1:14" s="439" customFormat="1" x14ac:dyDescent="0.2">
      <c r="A36" s="437">
        <v>1100</v>
      </c>
      <c r="B36" s="593" t="s">
        <v>23</v>
      </c>
      <c r="C36" s="280">
        <v>9069764.0600000005</v>
      </c>
      <c r="D36" s="280">
        <v>11132060.390000001</v>
      </c>
      <c r="E36" s="280">
        <v>9069764.0599999987</v>
      </c>
      <c r="F36" s="280">
        <v>11132060.390000001</v>
      </c>
      <c r="G36" s="280">
        <v>11465948.74</v>
      </c>
      <c r="H36" s="607"/>
      <c r="I36" s="277">
        <f t="shared" si="2"/>
        <v>333888.34999999963</v>
      </c>
      <c r="J36" s="278">
        <f t="shared" si="3"/>
        <v>2.9993400889195106E-2</v>
      </c>
      <c r="K36" s="677"/>
      <c r="L36" s="277">
        <f t="shared" si="0"/>
        <v>2396184.6800000016</v>
      </c>
      <c r="M36" s="278">
        <f t="shared" si="1"/>
        <v>0.26419481963900193</v>
      </c>
      <c r="N36" s="677"/>
    </row>
    <row r="37" spans="1:14" ht="29.25" customHeight="1" x14ac:dyDescent="0.2">
      <c r="A37" s="446">
        <v>1110</v>
      </c>
      <c r="B37" s="594" t="s">
        <v>24</v>
      </c>
      <c r="C37" s="281">
        <v>6211495.1399999997</v>
      </c>
      <c r="D37" s="281">
        <v>7862911.4699999997</v>
      </c>
      <c r="E37" s="281">
        <v>6211495.1399999997</v>
      </c>
      <c r="F37" s="281">
        <v>7862911.4699999997</v>
      </c>
      <c r="G37" s="281">
        <v>7997342.1900000004</v>
      </c>
      <c r="H37" s="615"/>
      <c r="I37" s="277">
        <f t="shared" si="2"/>
        <v>134430.72000000067</v>
      </c>
      <c r="J37" s="278">
        <f t="shared" si="3"/>
        <v>1.709681210489334E-2</v>
      </c>
      <c r="K37" s="678"/>
      <c r="L37" s="282">
        <f t="shared" si="0"/>
        <v>1785847.0500000007</v>
      </c>
      <c r="M37" s="283">
        <f t="shared" si="1"/>
        <v>0.28750679341270496</v>
      </c>
      <c r="N37" s="761" t="s">
        <v>833</v>
      </c>
    </row>
    <row r="38" spans="1:14" ht="29.25" customHeight="1" x14ac:dyDescent="0.2">
      <c r="A38" s="447">
        <v>1111</v>
      </c>
      <c r="B38" s="463" t="s">
        <v>326</v>
      </c>
      <c r="C38" s="294">
        <v>123456.42</v>
      </c>
      <c r="D38" s="267">
        <v>130152</v>
      </c>
      <c r="E38" s="294">
        <v>123456.42</v>
      </c>
      <c r="F38" s="294">
        <v>130152</v>
      </c>
      <c r="G38" s="294">
        <v>117309.97</v>
      </c>
      <c r="H38" s="609"/>
      <c r="I38" s="277">
        <f t="shared" si="2"/>
        <v>-12842.029999999999</v>
      </c>
      <c r="J38" s="278">
        <f t="shared" si="3"/>
        <v>-9.8669478763292143E-2</v>
      </c>
      <c r="K38" s="664" t="s">
        <v>804</v>
      </c>
      <c r="L38" s="268">
        <f t="shared" si="0"/>
        <v>-6146.4499999999971</v>
      </c>
      <c r="M38" s="283">
        <f t="shared" si="1"/>
        <v>-4.978639425960997E-2</v>
      </c>
      <c r="N38" s="761"/>
    </row>
    <row r="39" spans="1:14" ht="63" customHeight="1" x14ac:dyDescent="0.2">
      <c r="A39" s="447">
        <v>1112</v>
      </c>
      <c r="B39" s="463" t="s">
        <v>327</v>
      </c>
      <c r="C39" s="294">
        <v>6088038.7199999997</v>
      </c>
      <c r="D39" s="267">
        <v>7732759.4699999997</v>
      </c>
      <c r="E39" s="294">
        <v>6088038.7199999997</v>
      </c>
      <c r="F39" s="294">
        <v>7732759.4699999997</v>
      </c>
      <c r="G39" s="294">
        <v>7880032.2199999997</v>
      </c>
      <c r="H39" s="609"/>
      <c r="I39" s="277">
        <f t="shared" si="2"/>
        <v>147272.75</v>
      </c>
      <c r="J39" s="278">
        <f t="shared" si="3"/>
        <v>1.9045303370854753E-2</v>
      </c>
      <c r="K39" s="448"/>
      <c r="L39" s="268">
        <f t="shared" si="0"/>
        <v>1791993.5</v>
      </c>
      <c r="M39" s="283">
        <f t="shared" si="1"/>
        <v>0.29434660034488086</v>
      </c>
      <c r="N39" s="761"/>
    </row>
    <row r="40" spans="1:14" s="439" customFormat="1" ht="33" customHeight="1" x14ac:dyDescent="0.2">
      <c r="A40" s="437">
        <v>1140</v>
      </c>
      <c r="B40" s="452" t="s">
        <v>154</v>
      </c>
      <c r="C40" s="280">
        <v>2793006.41</v>
      </c>
      <c r="D40" s="280">
        <v>3202080.4200000004</v>
      </c>
      <c r="E40" s="280">
        <v>2793006.41</v>
      </c>
      <c r="F40" s="280">
        <v>3202080.4200000004</v>
      </c>
      <c r="G40" s="280">
        <v>3413918.2</v>
      </c>
      <c r="H40" s="607"/>
      <c r="I40" s="277">
        <f t="shared" si="2"/>
        <v>211837.7799999998</v>
      </c>
      <c r="J40" s="278">
        <f t="shared" si="3"/>
        <v>6.6156295974602583E-2</v>
      </c>
      <c r="K40" s="741" t="s">
        <v>829</v>
      </c>
      <c r="L40" s="277">
        <f t="shared" si="0"/>
        <v>620911.79</v>
      </c>
      <c r="M40" s="278">
        <f t="shared" si="1"/>
        <v>0.22230947547306201</v>
      </c>
      <c r="N40" s="756" t="s">
        <v>834</v>
      </c>
    </row>
    <row r="41" spans="1:14" s="439" customFormat="1" x14ac:dyDescent="0.2">
      <c r="A41" s="447">
        <v>1141</v>
      </c>
      <c r="B41" s="453" t="s">
        <v>147</v>
      </c>
      <c r="C41" s="294">
        <v>390268.78</v>
      </c>
      <c r="D41" s="267">
        <v>504360.18</v>
      </c>
      <c r="E41" s="294">
        <v>390268.78</v>
      </c>
      <c r="F41" s="294">
        <v>504360.18</v>
      </c>
      <c r="G41" s="294">
        <v>501487</v>
      </c>
      <c r="H41" s="609"/>
      <c r="I41" s="277">
        <f t="shared" si="2"/>
        <v>-2873.179999999993</v>
      </c>
      <c r="J41" s="278">
        <f t="shared" si="3"/>
        <v>-5.6966828745282647E-3</v>
      </c>
      <c r="K41" s="742"/>
      <c r="L41" s="268">
        <f t="shared" si="0"/>
        <v>111218.21999999997</v>
      </c>
      <c r="M41" s="283">
        <f t="shared" si="1"/>
        <v>0.28497852172546306</v>
      </c>
      <c r="N41" s="757"/>
    </row>
    <row r="42" spans="1:14" s="439" customFormat="1" ht="31.5" x14ac:dyDescent="0.2">
      <c r="A42" s="447">
        <v>1142</v>
      </c>
      <c r="B42" s="453" t="s">
        <v>25</v>
      </c>
      <c r="C42" s="294">
        <v>478745.84</v>
      </c>
      <c r="D42" s="267">
        <v>653937.4</v>
      </c>
      <c r="E42" s="294">
        <v>478745.84</v>
      </c>
      <c r="F42" s="294">
        <v>653937.4</v>
      </c>
      <c r="G42" s="294">
        <v>638999.63</v>
      </c>
      <c r="H42" s="609"/>
      <c r="I42" s="277">
        <f t="shared" si="2"/>
        <v>-14937.770000000019</v>
      </c>
      <c r="J42" s="278">
        <f t="shared" si="3"/>
        <v>-2.2842813394676642E-2</v>
      </c>
      <c r="K42" s="742"/>
      <c r="L42" s="268">
        <f t="shared" si="0"/>
        <v>160253.78999999998</v>
      </c>
      <c r="M42" s="283">
        <f t="shared" si="1"/>
        <v>0.33473667363877246</v>
      </c>
      <c r="N42" s="757"/>
    </row>
    <row r="43" spans="1:14" s="439" customFormat="1" x14ac:dyDescent="0.2">
      <c r="A43" s="447">
        <v>1144</v>
      </c>
      <c r="B43" s="453" t="s">
        <v>26</v>
      </c>
      <c r="C43" s="294"/>
      <c r="D43" s="267">
        <v>0</v>
      </c>
      <c r="E43" s="294"/>
      <c r="F43" s="294">
        <v>0</v>
      </c>
      <c r="G43" s="294">
        <v>0</v>
      </c>
      <c r="H43" s="609"/>
      <c r="I43" s="277">
        <f t="shared" si="2"/>
        <v>0</v>
      </c>
      <c r="J43" s="278" t="str">
        <f t="shared" si="3"/>
        <v>-</v>
      </c>
      <c r="K43" s="742"/>
      <c r="L43" s="268">
        <f t="shared" si="0"/>
        <v>0</v>
      </c>
      <c r="M43" s="283" t="str">
        <f t="shared" si="1"/>
        <v>-</v>
      </c>
      <c r="N43" s="757"/>
    </row>
    <row r="44" spans="1:14" s="439" customFormat="1" ht="31.5" x14ac:dyDescent="0.2">
      <c r="A44" s="447">
        <v>1145</v>
      </c>
      <c r="B44" s="453" t="s">
        <v>155</v>
      </c>
      <c r="C44" s="294">
        <v>1102686.5900000001</v>
      </c>
      <c r="D44" s="267">
        <v>1191509.76</v>
      </c>
      <c r="E44" s="294">
        <v>1102686.5900000001</v>
      </c>
      <c r="F44" s="294">
        <v>1191509.76</v>
      </c>
      <c r="G44" s="294">
        <v>1958870.31</v>
      </c>
      <c r="H44" s="609"/>
      <c r="I44" s="277">
        <f t="shared" si="2"/>
        <v>767360.55</v>
      </c>
      <c r="J44" s="278">
        <f t="shared" si="3"/>
        <v>0.64402372163531418</v>
      </c>
      <c r="K44" s="742"/>
      <c r="L44" s="268">
        <f t="shared" si="0"/>
        <v>856183.72</v>
      </c>
      <c r="M44" s="283">
        <f t="shared" si="1"/>
        <v>0.77645246415846947</v>
      </c>
      <c r="N44" s="757"/>
    </row>
    <row r="45" spans="1:14" s="439" customFormat="1" ht="31.5" x14ac:dyDescent="0.2">
      <c r="A45" s="447">
        <v>1146</v>
      </c>
      <c r="B45" s="453" t="s">
        <v>27</v>
      </c>
      <c r="C45" s="294">
        <v>51328.12</v>
      </c>
      <c r="D45" s="267">
        <v>64555.7</v>
      </c>
      <c r="E45" s="294">
        <v>51328.12</v>
      </c>
      <c r="F45" s="294">
        <v>64555.7</v>
      </c>
      <c r="G45" s="294">
        <v>67936.89</v>
      </c>
      <c r="H45" s="609"/>
      <c r="I45" s="277">
        <f t="shared" si="2"/>
        <v>3381.1900000000023</v>
      </c>
      <c r="J45" s="278">
        <f t="shared" si="3"/>
        <v>5.2376319984137769E-2</v>
      </c>
      <c r="K45" s="742"/>
      <c r="L45" s="268">
        <f t="shared" si="0"/>
        <v>16608.769999999997</v>
      </c>
      <c r="M45" s="283">
        <f t="shared" si="1"/>
        <v>0.3235803298464856</v>
      </c>
      <c r="N45" s="757"/>
    </row>
    <row r="46" spans="1:14" s="439" customFormat="1" x14ac:dyDescent="0.2">
      <c r="A46" s="447">
        <v>1147</v>
      </c>
      <c r="B46" s="453" t="s">
        <v>28</v>
      </c>
      <c r="C46" s="294">
        <v>77979.100000000006</v>
      </c>
      <c r="D46" s="267">
        <v>83674.180000000008</v>
      </c>
      <c r="E46" s="582">
        <v>77979.100000000006</v>
      </c>
      <c r="F46" s="294">
        <v>83674.180000000008</v>
      </c>
      <c r="G46" s="294">
        <v>79855.839999999997</v>
      </c>
      <c r="H46" s="609"/>
      <c r="I46" s="277">
        <f t="shared" si="2"/>
        <v>-3818.3400000000111</v>
      </c>
      <c r="J46" s="278">
        <f t="shared" si="3"/>
        <v>-4.5633431961926735E-2</v>
      </c>
      <c r="K46" s="742"/>
      <c r="L46" s="268">
        <f t="shared" si="0"/>
        <v>1876.7399999999907</v>
      </c>
      <c r="M46" s="283">
        <f t="shared" si="1"/>
        <v>2.4067218010979743E-2</v>
      </c>
      <c r="N46" s="757"/>
    </row>
    <row r="47" spans="1:14" s="439" customFormat="1" x14ac:dyDescent="0.2">
      <c r="A47" s="447">
        <v>1148</v>
      </c>
      <c r="B47" s="453" t="s">
        <v>156</v>
      </c>
      <c r="C47" s="294">
        <v>574986</v>
      </c>
      <c r="D47" s="267">
        <v>574986</v>
      </c>
      <c r="E47" s="582">
        <v>574986</v>
      </c>
      <c r="F47" s="294">
        <v>574986</v>
      </c>
      <c r="G47" s="294">
        <v>54714.2</v>
      </c>
      <c r="H47" s="609"/>
      <c r="I47" s="277">
        <f t="shared" si="2"/>
        <v>-520271.8</v>
      </c>
      <c r="J47" s="278">
        <f t="shared" si="3"/>
        <v>-0.90484255268823932</v>
      </c>
      <c r="K47" s="742"/>
      <c r="L47" s="268">
        <f t="shared" si="0"/>
        <v>-520271.8</v>
      </c>
      <c r="M47" s="283">
        <f t="shared" si="1"/>
        <v>-0.90484255268823932</v>
      </c>
      <c r="N47" s="757"/>
    </row>
    <row r="48" spans="1:14" s="439" customFormat="1" ht="163.5" customHeight="1" x14ac:dyDescent="0.2">
      <c r="A48" s="447">
        <v>1149</v>
      </c>
      <c r="B48" s="453" t="s">
        <v>29</v>
      </c>
      <c r="C48" s="294">
        <v>117011.98</v>
      </c>
      <c r="D48" s="284">
        <v>129057.2</v>
      </c>
      <c r="E48" s="294">
        <v>117011.98</v>
      </c>
      <c r="F48" s="321">
        <v>129057.2</v>
      </c>
      <c r="G48" s="294">
        <v>112054.33</v>
      </c>
      <c r="H48" s="609"/>
      <c r="I48" s="277">
        <f t="shared" si="2"/>
        <v>-17002.869999999995</v>
      </c>
      <c r="J48" s="278">
        <f t="shared" si="3"/>
        <v>-0.1317467758482285</v>
      </c>
      <c r="K48" s="743"/>
      <c r="L48" s="285">
        <f t="shared" si="0"/>
        <v>-4957.6499999999942</v>
      </c>
      <c r="M48" s="286">
        <f t="shared" si="1"/>
        <v>-4.2368738653939489E-2</v>
      </c>
      <c r="N48" s="758"/>
    </row>
    <row r="49" spans="1:14" s="439" customFormat="1" ht="220.5" customHeight="1" x14ac:dyDescent="0.2">
      <c r="A49" s="446">
        <v>1150</v>
      </c>
      <c r="B49" s="457" t="s">
        <v>30</v>
      </c>
      <c r="C49" s="294">
        <v>65262.51</v>
      </c>
      <c r="D49" s="267">
        <v>67068.5</v>
      </c>
      <c r="E49" s="267">
        <v>65262.51</v>
      </c>
      <c r="F49" s="294">
        <v>67068.5</v>
      </c>
      <c r="G49" s="294">
        <v>54688.35</v>
      </c>
      <c r="H49" s="609"/>
      <c r="I49" s="277">
        <f t="shared" si="2"/>
        <v>-12380.150000000001</v>
      </c>
      <c r="J49" s="278">
        <f t="shared" si="3"/>
        <v>-0.1845896359691957</v>
      </c>
      <c r="K49" s="675" t="s">
        <v>830</v>
      </c>
      <c r="L49" s="268">
        <f t="shared" si="0"/>
        <v>-10574.160000000003</v>
      </c>
      <c r="M49" s="283">
        <f t="shared" si="1"/>
        <v>-0.16202502784523615</v>
      </c>
      <c r="N49" s="675" t="s">
        <v>830</v>
      </c>
    </row>
    <row r="50" spans="1:14" s="439" customFormat="1" ht="31.5" x14ac:dyDescent="0.2">
      <c r="A50" s="446">
        <v>1170</v>
      </c>
      <c r="B50" s="457" t="s">
        <v>31</v>
      </c>
      <c r="C50" s="322">
        <v>0</v>
      </c>
      <c r="D50" s="272">
        <v>0</v>
      </c>
      <c r="E50" s="322">
        <v>0</v>
      </c>
      <c r="F50" s="322">
        <v>0</v>
      </c>
      <c r="G50" s="322"/>
      <c r="H50" s="612"/>
      <c r="I50" s="277">
        <f t="shared" si="2"/>
        <v>0</v>
      </c>
      <c r="J50" s="278" t="str">
        <f t="shared" si="3"/>
        <v>-</v>
      </c>
      <c r="K50" s="674"/>
      <c r="L50" s="273">
        <f t="shared" si="0"/>
        <v>0</v>
      </c>
      <c r="M50" s="287" t="str">
        <f t="shared" si="1"/>
        <v>-</v>
      </c>
      <c r="N50" s="674"/>
    </row>
    <row r="51" spans="1:14" s="439" customFormat="1" ht="63" x14ac:dyDescent="0.2">
      <c r="A51" s="437">
        <v>1200</v>
      </c>
      <c r="B51" s="452" t="s">
        <v>32</v>
      </c>
      <c r="C51" s="280">
        <v>2259955.61</v>
      </c>
      <c r="D51" s="279">
        <v>2807644.2800000003</v>
      </c>
      <c r="E51" s="280">
        <v>2259955.61</v>
      </c>
      <c r="F51" s="280">
        <v>2807644.2800000003</v>
      </c>
      <c r="G51" s="280">
        <v>2800625.8899999997</v>
      </c>
      <c r="H51" s="607"/>
      <c r="I51" s="277">
        <f t="shared" si="2"/>
        <v>-7018.390000000596</v>
      </c>
      <c r="J51" s="278">
        <f t="shared" si="3"/>
        <v>-2.4997433079380679E-3</v>
      </c>
      <c r="K51" s="671"/>
      <c r="L51" s="277">
        <f t="shared" si="0"/>
        <v>540670.2799999998</v>
      </c>
      <c r="M51" s="278">
        <f t="shared" si="1"/>
        <v>0.23923933620979387</v>
      </c>
      <c r="N51" s="671"/>
    </row>
    <row r="52" spans="1:14" s="439" customFormat="1" ht="126" x14ac:dyDescent="0.2">
      <c r="A52" s="446">
        <v>1210</v>
      </c>
      <c r="B52" s="457" t="s">
        <v>33</v>
      </c>
      <c r="C52" s="322">
        <v>2179470.84</v>
      </c>
      <c r="D52" s="272">
        <v>2719890.2800000003</v>
      </c>
      <c r="E52" s="322">
        <v>2179470.84</v>
      </c>
      <c r="F52" s="322">
        <v>2719890.2800000003</v>
      </c>
      <c r="G52" s="322">
        <v>2697998.32</v>
      </c>
      <c r="H52" s="612"/>
      <c r="I52" s="277">
        <f t="shared" si="2"/>
        <v>-21891.960000000428</v>
      </c>
      <c r="J52" s="278">
        <f t="shared" si="3"/>
        <v>-8.0488393818593396E-3</v>
      </c>
      <c r="K52" s="670" t="s">
        <v>831</v>
      </c>
      <c r="L52" s="273">
        <f t="shared" si="0"/>
        <v>518527.48</v>
      </c>
      <c r="M52" s="287">
        <f t="shared" si="1"/>
        <v>0.23791439210079085</v>
      </c>
      <c r="N52" s="670" t="s">
        <v>835</v>
      </c>
    </row>
    <row r="53" spans="1:14" s="439" customFormat="1" ht="47.25" customHeight="1" x14ac:dyDescent="0.2">
      <c r="A53" s="449">
        <v>1220</v>
      </c>
      <c r="B53" s="595" t="s">
        <v>34</v>
      </c>
      <c r="C53" s="289">
        <v>80484.77</v>
      </c>
      <c r="D53" s="288">
        <v>87754</v>
      </c>
      <c r="E53" s="289">
        <v>80484.77</v>
      </c>
      <c r="F53" s="289">
        <v>87754</v>
      </c>
      <c r="G53" s="289">
        <v>102627.57</v>
      </c>
      <c r="H53" s="616"/>
      <c r="I53" s="277">
        <f t="shared" si="2"/>
        <v>14873.570000000007</v>
      </c>
      <c r="J53" s="278">
        <f t="shared" si="3"/>
        <v>0.16949164710440559</v>
      </c>
      <c r="K53" s="741" t="s">
        <v>832</v>
      </c>
      <c r="L53" s="290">
        <f t="shared" si="0"/>
        <v>22142.800000000003</v>
      </c>
      <c r="M53" s="291">
        <f t="shared" si="1"/>
        <v>0.27511788876330268</v>
      </c>
      <c r="N53" s="741" t="s">
        <v>805</v>
      </c>
    </row>
    <row r="54" spans="1:14" s="439" customFormat="1" ht="63" x14ac:dyDescent="0.2">
      <c r="A54" s="447">
        <v>1221</v>
      </c>
      <c r="B54" s="453" t="s">
        <v>35</v>
      </c>
      <c r="C54" s="294">
        <v>80364.77</v>
      </c>
      <c r="D54" s="267">
        <v>87634</v>
      </c>
      <c r="E54" s="294">
        <v>80364.77</v>
      </c>
      <c r="F54" s="294">
        <v>87634</v>
      </c>
      <c r="G54" s="294">
        <v>102467.57</v>
      </c>
      <c r="H54" s="609"/>
      <c r="I54" s="277">
        <f t="shared" si="2"/>
        <v>14833.570000000007</v>
      </c>
      <c r="J54" s="278">
        <f t="shared" si="3"/>
        <v>0.16926729351621525</v>
      </c>
      <c r="K54" s="742"/>
      <c r="L54" s="268">
        <f t="shared" si="0"/>
        <v>22102.800000000003</v>
      </c>
      <c r="M54" s="283">
        <f t="shared" si="1"/>
        <v>0.27503096195011822</v>
      </c>
      <c r="N54" s="742"/>
    </row>
    <row r="55" spans="1:14" s="439" customFormat="1" ht="31.5" x14ac:dyDescent="0.2">
      <c r="A55" s="447">
        <v>1222</v>
      </c>
      <c r="B55" s="453" t="s">
        <v>36</v>
      </c>
      <c r="C55" s="294"/>
      <c r="D55" s="267">
        <v>0</v>
      </c>
      <c r="E55" s="294"/>
      <c r="F55" s="294">
        <v>0</v>
      </c>
      <c r="G55" s="294">
        <v>0</v>
      </c>
      <c r="H55" s="609"/>
      <c r="I55" s="277">
        <f t="shared" si="2"/>
        <v>0</v>
      </c>
      <c r="J55" s="278" t="str">
        <f t="shared" si="3"/>
        <v>-</v>
      </c>
      <c r="K55" s="742"/>
      <c r="L55" s="268">
        <f t="shared" si="0"/>
        <v>0</v>
      </c>
      <c r="M55" s="283" t="str">
        <f t="shared" si="1"/>
        <v>-</v>
      </c>
      <c r="N55" s="742"/>
    </row>
    <row r="56" spans="1:14" s="439" customFormat="1" x14ac:dyDescent="0.2">
      <c r="A56" s="447">
        <v>1223</v>
      </c>
      <c r="B56" s="453" t="s">
        <v>37</v>
      </c>
      <c r="C56" s="294"/>
      <c r="D56" s="267">
        <v>0</v>
      </c>
      <c r="E56" s="294"/>
      <c r="F56" s="294">
        <v>0</v>
      </c>
      <c r="G56" s="294">
        <v>0</v>
      </c>
      <c r="H56" s="609"/>
      <c r="I56" s="277">
        <f t="shared" si="2"/>
        <v>0</v>
      </c>
      <c r="J56" s="278" t="str">
        <f t="shared" si="3"/>
        <v>-</v>
      </c>
      <c r="K56" s="742"/>
      <c r="L56" s="268">
        <f t="shared" si="0"/>
        <v>0</v>
      </c>
      <c r="M56" s="283" t="str">
        <f t="shared" si="1"/>
        <v>-</v>
      </c>
      <c r="N56" s="742"/>
    </row>
    <row r="57" spans="1:14" s="439" customFormat="1" ht="31.5" x14ac:dyDescent="0.2">
      <c r="A57" s="447">
        <v>1227</v>
      </c>
      <c r="B57" s="453" t="s">
        <v>38</v>
      </c>
      <c r="C57" s="294"/>
      <c r="D57" s="267">
        <v>0</v>
      </c>
      <c r="E57" s="294"/>
      <c r="F57" s="294">
        <v>0</v>
      </c>
      <c r="G57" s="294">
        <v>0</v>
      </c>
      <c r="H57" s="609"/>
      <c r="I57" s="277">
        <f t="shared" si="2"/>
        <v>0</v>
      </c>
      <c r="J57" s="278" t="str">
        <f t="shared" si="3"/>
        <v>-</v>
      </c>
      <c r="K57" s="742"/>
      <c r="L57" s="268">
        <f t="shared" si="0"/>
        <v>0</v>
      </c>
      <c r="M57" s="283" t="str">
        <f t="shared" si="1"/>
        <v>-</v>
      </c>
      <c r="N57" s="742"/>
    </row>
    <row r="58" spans="1:14" s="439" customFormat="1" ht="63" x14ac:dyDescent="0.2">
      <c r="A58" s="447">
        <v>1228</v>
      </c>
      <c r="B58" s="453" t="s">
        <v>331</v>
      </c>
      <c r="C58" s="294">
        <v>120</v>
      </c>
      <c r="D58" s="267">
        <v>120</v>
      </c>
      <c r="E58" s="294">
        <v>120</v>
      </c>
      <c r="F58" s="294">
        <v>120</v>
      </c>
      <c r="G58" s="294">
        <v>160</v>
      </c>
      <c r="H58" s="609"/>
      <c r="I58" s="277">
        <f t="shared" si="2"/>
        <v>40</v>
      </c>
      <c r="J58" s="278">
        <f t="shared" si="3"/>
        <v>0.33333333333333331</v>
      </c>
      <c r="K58" s="743"/>
      <c r="L58" s="268">
        <f t="shared" si="0"/>
        <v>40</v>
      </c>
      <c r="M58" s="283">
        <f t="shared" si="1"/>
        <v>0.33333333333333331</v>
      </c>
      <c r="N58" s="743"/>
    </row>
    <row r="59" spans="1:14" s="439" customFormat="1" x14ac:dyDescent="0.2">
      <c r="A59" s="437">
        <v>2000</v>
      </c>
      <c r="B59" s="459" t="s">
        <v>39</v>
      </c>
      <c r="C59" s="280">
        <f>C60+C67+C103+C139+C149</f>
        <v>6884323.4900000002</v>
      </c>
      <c r="D59" s="276">
        <v>7504454.0703000007</v>
      </c>
      <c r="E59" s="280">
        <v>6884323.4900000002</v>
      </c>
      <c r="F59" s="280">
        <v>7504454.0703000007</v>
      </c>
      <c r="G59" s="280">
        <f>G60+G67+G103+G139+G149</f>
        <v>7831341.2299999995</v>
      </c>
      <c r="H59" s="607"/>
      <c r="I59" s="277">
        <f t="shared" si="2"/>
        <v>326887.1596999988</v>
      </c>
      <c r="J59" s="266">
        <f t="shared" si="3"/>
        <v>4.3559085929208846E-2</v>
      </c>
      <c r="K59" s="671"/>
      <c r="L59" s="277">
        <f t="shared" si="0"/>
        <v>947017.73999999929</v>
      </c>
      <c r="M59" s="266">
        <f t="shared" si="1"/>
        <v>0.13756148173101018</v>
      </c>
      <c r="N59" s="671"/>
    </row>
    <row r="60" spans="1:14" s="439" customFormat="1" ht="31.5" x14ac:dyDescent="0.2">
      <c r="A60" s="437">
        <v>2100</v>
      </c>
      <c r="B60" s="459" t="s">
        <v>157</v>
      </c>
      <c r="C60" s="280">
        <f t="shared" ref="C60" si="9">C61+C64</f>
        <v>495</v>
      </c>
      <c r="D60" s="276">
        <v>495</v>
      </c>
      <c r="E60" s="280">
        <v>495</v>
      </c>
      <c r="F60" s="280">
        <v>495</v>
      </c>
      <c r="G60" s="280">
        <f t="shared" ref="G60" si="10">G61+G64</f>
        <v>278</v>
      </c>
      <c r="H60" s="607"/>
      <c r="I60" s="277">
        <f t="shared" si="2"/>
        <v>-217</v>
      </c>
      <c r="J60" s="266">
        <f t="shared" si="3"/>
        <v>-0.43838383838383838</v>
      </c>
      <c r="K60" s="671"/>
      <c r="L60" s="277">
        <f t="shared" si="0"/>
        <v>-217</v>
      </c>
      <c r="M60" s="266">
        <f t="shared" si="1"/>
        <v>-0.43838383838383838</v>
      </c>
      <c r="N60" s="671"/>
    </row>
    <row r="61" spans="1:14" s="439" customFormat="1" ht="15.75" customHeight="1" x14ac:dyDescent="0.2">
      <c r="A61" s="450">
        <v>2110</v>
      </c>
      <c r="B61" s="459" t="s">
        <v>40</v>
      </c>
      <c r="C61" s="280">
        <f t="shared" ref="C61" si="11">SUM(C62:C63)</f>
        <v>200</v>
      </c>
      <c r="D61" s="276">
        <v>200</v>
      </c>
      <c r="E61" s="280">
        <v>200</v>
      </c>
      <c r="F61" s="280">
        <v>200</v>
      </c>
      <c r="G61" s="280">
        <f t="shared" ref="G61" si="12">SUM(G62:G63)</f>
        <v>8</v>
      </c>
      <c r="H61" s="607"/>
      <c r="I61" s="277">
        <f t="shared" si="2"/>
        <v>-192</v>
      </c>
      <c r="J61" s="266">
        <f t="shared" si="3"/>
        <v>-0.96</v>
      </c>
      <c r="K61" s="741" t="s">
        <v>887</v>
      </c>
      <c r="L61" s="277">
        <f t="shared" si="0"/>
        <v>-192</v>
      </c>
      <c r="M61" s="266">
        <f t="shared" si="1"/>
        <v>-0.96</v>
      </c>
      <c r="N61" s="741" t="s">
        <v>890</v>
      </c>
    </row>
    <row r="62" spans="1:14" s="439" customFormat="1" x14ac:dyDescent="0.2">
      <c r="A62" s="447">
        <v>2111</v>
      </c>
      <c r="B62" s="472" t="s">
        <v>41</v>
      </c>
      <c r="C62" s="294">
        <v>0</v>
      </c>
      <c r="D62" s="267">
        <v>0</v>
      </c>
      <c r="E62" s="294">
        <v>0</v>
      </c>
      <c r="F62" s="294">
        <v>0</v>
      </c>
      <c r="G62" s="294">
        <v>0</v>
      </c>
      <c r="H62" s="609"/>
      <c r="I62" s="277">
        <f t="shared" si="2"/>
        <v>0</v>
      </c>
      <c r="J62" s="266" t="str">
        <f t="shared" si="3"/>
        <v>-</v>
      </c>
      <c r="K62" s="742"/>
      <c r="L62" s="268">
        <f t="shared" si="0"/>
        <v>0</v>
      </c>
      <c r="M62" s="269" t="str">
        <f t="shared" si="1"/>
        <v>-</v>
      </c>
      <c r="N62" s="742"/>
    </row>
    <row r="63" spans="1:14" s="451" customFormat="1" ht="77.25" customHeight="1" x14ac:dyDescent="0.2">
      <c r="A63" s="447">
        <v>2112</v>
      </c>
      <c r="B63" s="472" t="s">
        <v>418</v>
      </c>
      <c r="C63" s="294">
        <v>200</v>
      </c>
      <c r="D63" s="267">
        <v>200</v>
      </c>
      <c r="E63" s="294">
        <v>200</v>
      </c>
      <c r="F63" s="294">
        <v>200</v>
      </c>
      <c r="G63" s="294">
        <v>8</v>
      </c>
      <c r="H63" s="609"/>
      <c r="I63" s="277">
        <f t="shared" si="2"/>
        <v>-192</v>
      </c>
      <c r="J63" s="266">
        <f t="shared" si="3"/>
        <v>-0.96</v>
      </c>
      <c r="K63" s="743"/>
      <c r="L63" s="268">
        <f t="shared" si="0"/>
        <v>-192</v>
      </c>
      <c r="M63" s="269">
        <f t="shared" si="1"/>
        <v>-0.96</v>
      </c>
      <c r="N63" s="743"/>
    </row>
    <row r="64" spans="1:14" s="439" customFormat="1" ht="31.5" x14ac:dyDescent="0.2">
      <c r="A64" s="450">
        <v>2120</v>
      </c>
      <c r="B64" s="459" t="s">
        <v>42</v>
      </c>
      <c r="C64" s="280">
        <f t="shared" ref="C64" si="13">SUM(C65:C66)</f>
        <v>295</v>
      </c>
      <c r="D64" s="276">
        <v>295</v>
      </c>
      <c r="E64" s="280">
        <v>295</v>
      </c>
      <c r="F64" s="280">
        <v>295</v>
      </c>
      <c r="G64" s="280">
        <f t="shared" ref="G64" si="14">SUM(G65:G66)</f>
        <v>270</v>
      </c>
      <c r="H64" s="607"/>
      <c r="I64" s="277">
        <f t="shared" si="2"/>
        <v>-25</v>
      </c>
      <c r="J64" s="266">
        <f t="shared" si="3"/>
        <v>-8.4745762711864403E-2</v>
      </c>
      <c r="K64" s="741" t="s">
        <v>889</v>
      </c>
      <c r="L64" s="277">
        <f t="shared" si="0"/>
        <v>-25</v>
      </c>
      <c r="M64" s="266">
        <f t="shared" si="1"/>
        <v>-8.4745762711864403E-2</v>
      </c>
      <c r="N64" s="741" t="s">
        <v>888</v>
      </c>
    </row>
    <row r="65" spans="1:14" s="439" customFormat="1" x14ac:dyDescent="0.2">
      <c r="A65" s="447">
        <v>2121</v>
      </c>
      <c r="B65" s="472" t="s">
        <v>41</v>
      </c>
      <c r="C65" s="294">
        <v>0</v>
      </c>
      <c r="D65" s="267">
        <v>0</v>
      </c>
      <c r="E65" s="294">
        <v>0</v>
      </c>
      <c r="F65" s="294">
        <v>0</v>
      </c>
      <c r="G65" s="294">
        <v>0</v>
      </c>
      <c r="H65" s="609"/>
      <c r="I65" s="277">
        <f t="shared" si="2"/>
        <v>0</v>
      </c>
      <c r="J65" s="266" t="str">
        <f t="shared" si="3"/>
        <v>-</v>
      </c>
      <c r="K65" s="742"/>
      <c r="L65" s="268">
        <f t="shared" si="0"/>
        <v>0</v>
      </c>
      <c r="M65" s="269" t="str">
        <f t="shared" si="1"/>
        <v>-</v>
      </c>
      <c r="N65" s="742"/>
    </row>
    <row r="66" spans="1:14" s="451" customFormat="1" ht="192" customHeight="1" x14ac:dyDescent="0.2">
      <c r="A66" s="447">
        <v>2122</v>
      </c>
      <c r="B66" s="472" t="s">
        <v>418</v>
      </c>
      <c r="C66" s="294">
        <v>295</v>
      </c>
      <c r="D66" s="267">
        <v>295</v>
      </c>
      <c r="E66" s="294">
        <v>295</v>
      </c>
      <c r="F66" s="294">
        <v>295</v>
      </c>
      <c r="G66" s="294">
        <v>270</v>
      </c>
      <c r="H66" s="609"/>
      <c r="I66" s="277">
        <f>G66-F66</f>
        <v>-25</v>
      </c>
      <c r="J66" s="266">
        <f t="shared" si="3"/>
        <v>-8.4745762711864403E-2</v>
      </c>
      <c r="K66" s="743"/>
      <c r="L66" s="268">
        <f t="shared" si="0"/>
        <v>-25</v>
      </c>
      <c r="M66" s="269">
        <f t="shared" si="1"/>
        <v>-8.4745762711864403E-2</v>
      </c>
      <c r="N66" s="743"/>
    </row>
    <row r="67" spans="1:14" s="439" customFormat="1" x14ac:dyDescent="0.2">
      <c r="A67" s="437">
        <v>2200</v>
      </c>
      <c r="B67" s="452" t="s">
        <v>43</v>
      </c>
      <c r="C67" s="280">
        <f>C68+C69+C75+C83+C90+C91+C97+C102</f>
        <v>1344516.0499999998</v>
      </c>
      <c r="D67" s="279">
        <v>1679774.6540000001</v>
      </c>
      <c r="E67" s="280">
        <v>1344516.0499999998</v>
      </c>
      <c r="F67" s="280">
        <v>1679774.6540000001</v>
      </c>
      <c r="G67" s="280">
        <f>G68+G69+G75+G83+G90+G91+G97+G102</f>
        <v>1671880</v>
      </c>
      <c r="H67" s="607"/>
      <c r="I67" s="277">
        <f t="shared" si="2"/>
        <v>-7894.6540000000969</v>
      </c>
      <c r="J67" s="266">
        <f t="shared" si="3"/>
        <v>-4.6998292188781274E-3</v>
      </c>
      <c r="K67" s="671"/>
      <c r="L67" s="277">
        <f t="shared" si="0"/>
        <v>327363.95000000019</v>
      </c>
      <c r="M67" s="266">
        <f t="shared" si="1"/>
        <v>0.24348087923532058</v>
      </c>
      <c r="N67" s="671"/>
    </row>
    <row r="68" spans="1:14" s="439" customFormat="1" ht="129" customHeight="1" x14ac:dyDescent="0.2">
      <c r="A68" s="450">
        <v>2210</v>
      </c>
      <c r="B68" s="452" t="s">
        <v>419</v>
      </c>
      <c r="C68" s="292">
        <v>18756.099999999999</v>
      </c>
      <c r="D68" s="293">
        <v>23106</v>
      </c>
      <c r="E68" s="292">
        <v>18756.099999999999</v>
      </c>
      <c r="F68" s="292">
        <v>23106</v>
      </c>
      <c r="G68" s="292">
        <v>18622</v>
      </c>
      <c r="H68" s="611"/>
      <c r="I68" s="277">
        <f t="shared" si="2"/>
        <v>-4484</v>
      </c>
      <c r="J68" s="266">
        <f t="shared" si="3"/>
        <v>-0.1940621483597334</v>
      </c>
      <c r="K68" s="675" t="s">
        <v>891</v>
      </c>
      <c r="L68" s="271">
        <f t="shared" ref="L68:L131" si="15">G68-E68</f>
        <v>-134.09999999999854</v>
      </c>
      <c r="M68" s="266">
        <f t="shared" ref="M68:M131" si="16">IFERROR(L68/ABS(E68), "-")</f>
        <v>-7.1496739727341264E-3</v>
      </c>
      <c r="N68" s="676"/>
    </row>
    <row r="69" spans="1:14" s="439" customFormat="1" ht="31.5" customHeight="1" x14ac:dyDescent="0.2">
      <c r="A69" s="450">
        <v>2220</v>
      </c>
      <c r="B69" s="452" t="s">
        <v>44</v>
      </c>
      <c r="C69" s="280">
        <f t="shared" ref="C69" si="17">SUM(C70:C74)</f>
        <v>427806.63000000006</v>
      </c>
      <c r="D69" s="279">
        <v>463696.36800000002</v>
      </c>
      <c r="E69" s="280">
        <v>427806.63000000006</v>
      </c>
      <c r="F69" s="280">
        <v>463696.36800000002</v>
      </c>
      <c r="G69" s="280">
        <f t="shared" ref="G69" si="18">SUM(G70:G74)</f>
        <v>615431</v>
      </c>
      <c r="H69" s="607"/>
      <c r="I69" s="277">
        <f t="shared" ref="I69:I132" si="19">G69-F69</f>
        <v>151734.63199999998</v>
      </c>
      <c r="J69" s="266">
        <f t="shared" ref="J69:J132" si="20">IFERROR(I69/ABS(F69), "-")</f>
        <v>0.32722842461427254</v>
      </c>
      <c r="K69" s="741" t="s">
        <v>934</v>
      </c>
      <c r="L69" s="277">
        <f t="shared" si="15"/>
        <v>187624.36999999994</v>
      </c>
      <c r="M69" s="266">
        <f t="shared" si="16"/>
        <v>0.43857284306229644</v>
      </c>
      <c r="N69" s="741" t="s">
        <v>935</v>
      </c>
    </row>
    <row r="70" spans="1:14" s="439" customFormat="1" x14ac:dyDescent="0.2">
      <c r="A70" s="447">
        <v>2221</v>
      </c>
      <c r="B70" s="453" t="s">
        <v>420</v>
      </c>
      <c r="C70" s="294">
        <v>153765.57</v>
      </c>
      <c r="D70" s="267">
        <v>169142.12700000004</v>
      </c>
      <c r="E70" s="294">
        <v>153765.57</v>
      </c>
      <c r="F70" s="321">
        <v>169142.12700000004</v>
      </c>
      <c r="G70" s="294">
        <v>301012</v>
      </c>
      <c r="H70" s="609"/>
      <c r="I70" s="277">
        <f t="shared" si="19"/>
        <v>131869.87299999996</v>
      </c>
      <c r="J70" s="266">
        <f t="shared" si="20"/>
        <v>0.77963943896720622</v>
      </c>
      <c r="K70" s="742"/>
      <c r="L70" s="268">
        <f t="shared" si="15"/>
        <v>147246.43</v>
      </c>
      <c r="M70" s="269">
        <f t="shared" si="16"/>
        <v>0.9576033828639271</v>
      </c>
      <c r="N70" s="742"/>
    </row>
    <row r="71" spans="1:14" s="451" customFormat="1" x14ac:dyDescent="0.2">
      <c r="A71" s="447">
        <v>2222</v>
      </c>
      <c r="B71" s="453" t="s">
        <v>421</v>
      </c>
      <c r="C71" s="294">
        <v>29938.710000000006</v>
      </c>
      <c r="D71" s="267">
        <v>29938.710000000006</v>
      </c>
      <c r="E71" s="294">
        <v>29938.710000000006</v>
      </c>
      <c r="F71" s="321">
        <v>29938.710000000006</v>
      </c>
      <c r="G71" s="294">
        <v>27448</v>
      </c>
      <c r="H71" s="609"/>
      <c r="I71" s="277">
        <f t="shared" si="19"/>
        <v>-2490.7100000000064</v>
      </c>
      <c r="J71" s="266">
        <f t="shared" si="20"/>
        <v>-8.319363125532149E-2</v>
      </c>
      <c r="K71" s="742"/>
      <c r="L71" s="268">
        <f t="shared" si="15"/>
        <v>-2490.7100000000064</v>
      </c>
      <c r="M71" s="269">
        <f t="shared" si="16"/>
        <v>-8.319363125532149E-2</v>
      </c>
      <c r="N71" s="742"/>
    </row>
    <row r="72" spans="1:14" s="439" customFormat="1" x14ac:dyDescent="0.2">
      <c r="A72" s="447">
        <v>2223</v>
      </c>
      <c r="B72" s="453" t="s">
        <v>45</v>
      </c>
      <c r="C72" s="294">
        <v>188430.15</v>
      </c>
      <c r="D72" s="267">
        <v>207273.16499999998</v>
      </c>
      <c r="E72" s="294">
        <v>188430.15</v>
      </c>
      <c r="F72" s="321">
        <v>207273.16499999998</v>
      </c>
      <c r="G72" s="294">
        <v>228064</v>
      </c>
      <c r="H72" s="609"/>
      <c r="I72" s="277">
        <f t="shared" si="19"/>
        <v>20790.835000000021</v>
      </c>
      <c r="J72" s="266">
        <f t="shared" si="20"/>
        <v>0.10030644825633855</v>
      </c>
      <c r="K72" s="742"/>
      <c r="L72" s="268">
        <f>G72-E72</f>
        <v>39633.850000000006</v>
      </c>
      <c r="M72" s="269">
        <f t="shared" si="16"/>
        <v>0.21033709308197232</v>
      </c>
      <c r="N72" s="742"/>
    </row>
    <row r="73" spans="1:14" s="439" customFormat="1" ht="47.25" x14ac:dyDescent="0.2">
      <c r="A73" s="447">
        <v>2224</v>
      </c>
      <c r="B73" s="453" t="s">
        <v>158</v>
      </c>
      <c r="C73" s="294">
        <v>55672.19999999999</v>
      </c>
      <c r="D73" s="267">
        <v>57342.366000000009</v>
      </c>
      <c r="E73" s="294">
        <v>55672.19999999999</v>
      </c>
      <c r="F73" s="321">
        <v>57342.366000000009</v>
      </c>
      <c r="G73" s="294">
        <v>58907</v>
      </c>
      <c r="H73" s="609"/>
      <c r="I73" s="277">
        <f t="shared" si="19"/>
        <v>1564.6339999999909</v>
      </c>
      <c r="J73" s="266">
        <f t="shared" si="20"/>
        <v>2.7285829119781883E-2</v>
      </c>
      <c r="K73" s="742"/>
      <c r="L73" s="268">
        <f t="shared" si="15"/>
        <v>3234.8000000000102</v>
      </c>
      <c r="M73" s="269">
        <f t="shared" si="16"/>
        <v>5.81044039933757E-2</v>
      </c>
      <c r="N73" s="742"/>
    </row>
    <row r="74" spans="1:14" s="439" customFormat="1" ht="127.5" customHeight="1" x14ac:dyDescent="0.2">
      <c r="A74" s="447">
        <v>2229</v>
      </c>
      <c r="B74" s="453" t="s">
        <v>46</v>
      </c>
      <c r="C74" s="294">
        <v>0</v>
      </c>
      <c r="D74" s="267">
        <v>0</v>
      </c>
      <c r="E74" s="294">
        <v>0</v>
      </c>
      <c r="F74" s="294">
        <v>0</v>
      </c>
      <c r="G74" s="294"/>
      <c r="H74" s="609"/>
      <c r="I74" s="277">
        <f t="shared" si="19"/>
        <v>0</v>
      </c>
      <c r="J74" s="266" t="str">
        <f t="shared" si="20"/>
        <v>-</v>
      </c>
      <c r="K74" s="743"/>
      <c r="L74" s="268">
        <f t="shared" si="15"/>
        <v>0</v>
      </c>
      <c r="M74" s="269" t="str">
        <f t="shared" si="16"/>
        <v>-</v>
      </c>
      <c r="N74" s="743"/>
    </row>
    <row r="75" spans="1:14" s="439" customFormat="1" ht="19.5" customHeight="1" x14ac:dyDescent="0.2">
      <c r="A75" s="450">
        <v>2230</v>
      </c>
      <c r="B75" s="452" t="s">
        <v>422</v>
      </c>
      <c r="C75" s="280">
        <f>SUM(C76:C82)</f>
        <v>395488.98</v>
      </c>
      <c r="D75" s="279">
        <v>488214.35799999995</v>
      </c>
      <c r="E75" s="280">
        <v>395488.98</v>
      </c>
      <c r="F75" s="280">
        <v>488214.35799999995</v>
      </c>
      <c r="G75" s="280">
        <f>SUM(G76:G82)</f>
        <v>413345</v>
      </c>
      <c r="H75" s="607"/>
      <c r="I75" s="277">
        <f t="shared" si="19"/>
        <v>-74869.357999999949</v>
      </c>
      <c r="J75" s="266">
        <f t="shared" si="20"/>
        <v>-0.15335345381218787</v>
      </c>
      <c r="K75" s="679"/>
      <c r="L75" s="277">
        <f t="shared" si="15"/>
        <v>17856.020000000019</v>
      </c>
      <c r="M75" s="266">
        <f t="shared" si="16"/>
        <v>4.5149222615507564E-2</v>
      </c>
      <c r="N75" s="679"/>
    </row>
    <row r="76" spans="1:14" s="451" customFormat="1" ht="31.5" x14ac:dyDescent="0.2">
      <c r="A76" s="447">
        <v>2231</v>
      </c>
      <c r="B76" s="453" t="s">
        <v>423</v>
      </c>
      <c r="C76" s="294">
        <v>0</v>
      </c>
      <c r="D76" s="267">
        <v>0</v>
      </c>
      <c r="E76" s="294">
        <v>0</v>
      </c>
      <c r="F76" s="294">
        <v>0</v>
      </c>
      <c r="G76" s="294">
        <v>0</v>
      </c>
      <c r="H76" s="609"/>
      <c r="I76" s="277">
        <f t="shared" si="19"/>
        <v>0</v>
      </c>
      <c r="J76" s="266" t="str">
        <f t="shared" si="20"/>
        <v>-</v>
      </c>
      <c r="K76" s="448"/>
      <c r="L76" s="285">
        <f t="shared" si="15"/>
        <v>0</v>
      </c>
      <c r="M76" s="295" t="str">
        <f t="shared" si="16"/>
        <v>-</v>
      </c>
      <c r="N76" s="448"/>
    </row>
    <row r="77" spans="1:14" s="439" customFormat="1" ht="31.5" x14ac:dyDescent="0.2">
      <c r="A77" s="447">
        <v>2232</v>
      </c>
      <c r="B77" s="453" t="s">
        <v>424</v>
      </c>
      <c r="C77" s="294">
        <v>0</v>
      </c>
      <c r="D77" s="267">
        <v>0</v>
      </c>
      <c r="E77" s="294">
        <v>0</v>
      </c>
      <c r="F77" s="294">
        <v>0</v>
      </c>
      <c r="G77" s="294">
        <v>0</v>
      </c>
      <c r="H77" s="609"/>
      <c r="I77" s="277">
        <f t="shared" si="19"/>
        <v>0</v>
      </c>
      <c r="J77" s="266" t="str">
        <f t="shared" si="20"/>
        <v>-</v>
      </c>
      <c r="K77" s="448"/>
      <c r="L77" s="285">
        <f t="shared" si="15"/>
        <v>0</v>
      </c>
      <c r="M77" s="295" t="str">
        <f t="shared" si="16"/>
        <v>-</v>
      </c>
      <c r="N77" s="448"/>
    </row>
    <row r="78" spans="1:14" s="439" customFormat="1" ht="126" x14ac:dyDescent="0.2">
      <c r="A78" s="447">
        <v>2233</v>
      </c>
      <c r="B78" s="453" t="s">
        <v>47</v>
      </c>
      <c r="C78" s="294">
        <v>13022.31</v>
      </c>
      <c r="D78" s="267">
        <v>23022.57</v>
      </c>
      <c r="E78" s="294">
        <v>13022.31</v>
      </c>
      <c r="F78" s="294">
        <v>23022.57</v>
      </c>
      <c r="G78" s="294">
        <v>4017</v>
      </c>
      <c r="H78" s="609"/>
      <c r="I78" s="277">
        <f t="shared" si="19"/>
        <v>-19005.57</v>
      </c>
      <c r="J78" s="266">
        <f t="shared" si="20"/>
        <v>-0.82551904500670426</v>
      </c>
      <c r="K78" s="664" t="s">
        <v>928</v>
      </c>
      <c r="L78" s="273">
        <f t="shared" si="15"/>
        <v>-9005.31</v>
      </c>
      <c r="M78" s="274">
        <f t="shared" si="16"/>
        <v>-0.69152938303572864</v>
      </c>
      <c r="N78" s="664" t="s">
        <v>929</v>
      </c>
    </row>
    <row r="79" spans="1:14" s="439" customFormat="1" ht="31.5" x14ac:dyDescent="0.2">
      <c r="A79" s="447">
        <v>2234</v>
      </c>
      <c r="B79" s="453" t="s">
        <v>48</v>
      </c>
      <c r="C79" s="294">
        <v>0</v>
      </c>
      <c r="D79" s="267">
        <v>0</v>
      </c>
      <c r="E79" s="294">
        <v>0</v>
      </c>
      <c r="F79" s="294">
        <v>0</v>
      </c>
      <c r="G79" s="294"/>
      <c r="H79" s="609"/>
      <c r="I79" s="277">
        <f t="shared" si="19"/>
        <v>0</v>
      </c>
      <c r="J79" s="266" t="str">
        <f t="shared" si="20"/>
        <v>-</v>
      </c>
      <c r="K79" s="448"/>
      <c r="L79" s="285">
        <f t="shared" si="15"/>
        <v>0</v>
      </c>
      <c r="M79" s="295" t="str">
        <f t="shared" si="16"/>
        <v>-</v>
      </c>
      <c r="N79" s="448"/>
    </row>
    <row r="80" spans="1:14" s="439" customFormat="1" ht="204.75" x14ac:dyDescent="0.2">
      <c r="A80" s="447">
        <v>2235</v>
      </c>
      <c r="B80" s="453" t="s">
        <v>425</v>
      </c>
      <c r="C80" s="294">
        <v>4952.6499999999996</v>
      </c>
      <c r="D80" s="267">
        <v>4952.6499999999996</v>
      </c>
      <c r="E80" s="294">
        <v>4952.6499999999996</v>
      </c>
      <c r="F80" s="294">
        <v>4952.6499999999996</v>
      </c>
      <c r="G80" s="294">
        <v>565</v>
      </c>
      <c r="H80" s="609"/>
      <c r="I80" s="277">
        <f t="shared" si="19"/>
        <v>-4387.6499999999996</v>
      </c>
      <c r="J80" s="266">
        <f t="shared" si="20"/>
        <v>-0.88591965917236226</v>
      </c>
      <c r="K80" s="664" t="s">
        <v>926</v>
      </c>
      <c r="L80" s="268">
        <f t="shared" si="15"/>
        <v>-4387.6499999999996</v>
      </c>
      <c r="M80" s="269">
        <f t="shared" si="16"/>
        <v>-0.88591965917236226</v>
      </c>
      <c r="N80" s="664" t="s">
        <v>931</v>
      </c>
    </row>
    <row r="81" spans="1:14" s="439" customFormat="1" ht="63" x14ac:dyDescent="0.2">
      <c r="A81" s="447">
        <v>2236</v>
      </c>
      <c r="B81" s="453" t="s">
        <v>426</v>
      </c>
      <c r="C81" s="294">
        <v>5327.59</v>
      </c>
      <c r="D81" s="267">
        <v>5327.59</v>
      </c>
      <c r="E81" s="294">
        <v>5327.59</v>
      </c>
      <c r="F81" s="294">
        <v>5327.59</v>
      </c>
      <c r="G81" s="294">
        <v>8617</v>
      </c>
      <c r="H81" s="609"/>
      <c r="I81" s="277">
        <f t="shared" si="19"/>
        <v>3289.41</v>
      </c>
      <c r="J81" s="266">
        <f t="shared" si="20"/>
        <v>0.61742926914420959</v>
      </c>
      <c r="K81" s="664" t="s">
        <v>927</v>
      </c>
      <c r="L81" s="268">
        <f t="shared" si="15"/>
        <v>3289.41</v>
      </c>
      <c r="M81" s="269">
        <f t="shared" si="16"/>
        <v>0.61742926914420959</v>
      </c>
      <c r="N81" s="664" t="s">
        <v>930</v>
      </c>
    </row>
    <row r="82" spans="1:14" s="439" customFormat="1" ht="237.75" customHeight="1" x14ac:dyDescent="0.2">
      <c r="A82" s="447">
        <v>2239</v>
      </c>
      <c r="B82" s="453" t="s">
        <v>427</v>
      </c>
      <c r="C82" s="294">
        <f>370250.1+1936.33</f>
        <v>372186.43</v>
      </c>
      <c r="D82" s="267">
        <v>454911.54799999995</v>
      </c>
      <c r="E82" s="294">
        <v>372186.43</v>
      </c>
      <c r="F82" s="294">
        <v>454911.54799999995</v>
      </c>
      <c r="G82" s="294">
        <v>400146</v>
      </c>
      <c r="H82" s="609"/>
      <c r="I82" s="277">
        <f t="shared" si="19"/>
        <v>-54765.547999999952</v>
      </c>
      <c r="J82" s="266">
        <f t="shared" si="20"/>
        <v>-0.12038724503867719</v>
      </c>
      <c r="K82" s="664" t="s">
        <v>945</v>
      </c>
      <c r="L82" s="268">
        <f t="shared" si="15"/>
        <v>27959.570000000007</v>
      </c>
      <c r="M82" s="269">
        <f t="shared" si="16"/>
        <v>7.5122486330304966E-2</v>
      </c>
      <c r="N82" s="664" t="s">
        <v>952</v>
      </c>
    </row>
    <row r="83" spans="1:14" s="451" customFormat="1" ht="56.25" customHeight="1" x14ac:dyDescent="0.2">
      <c r="A83" s="450">
        <v>2240</v>
      </c>
      <c r="B83" s="452" t="s">
        <v>159</v>
      </c>
      <c r="C83" s="280">
        <f t="shared" ref="C83" si="21">SUM(C84:C89)</f>
        <v>296043.46000000002</v>
      </c>
      <c r="D83" s="279">
        <v>454145.22800000006</v>
      </c>
      <c r="E83" s="280">
        <v>296043.46000000002</v>
      </c>
      <c r="F83" s="280">
        <v>454145.22800000006</v>
      </c>
      <c r="G83" s="280">
        <f t="shared" ref="G83" si="22">SUM(G84:G89)</f>
        <v>427723</v>
      </c>
      <c r="H83" s="607"/>
      <c r="I83" s="277">
        <f t="shared" si="19"/>
        <v>-26422.228000000061</v>
      </c>
      <c r="J83" s="266">
        <f t="shared" si="20"/>
        <v>-5.8180129110593795E-2</v>
      </c>
      <c r="K83" s="741" t="s">
        <v>955</v>
      </c>
      <c r="L83" s="277">
        <f t="shared" si="15"/>
        <v>131679.53999999998</v>
      </c>
      <c r="M83" s="266">
        <f t="shared" si="16"/>
        <v>0.44479800364446481</v>
      </c>
      <c r="N83" s="741" t="s">
        <v>956</v>
      </c>
    </row>
    <row r="84" spans="1:14" s="439" customFormat="1" x14ac:dyDescent="0.2">
      <c r="A84" s="447">
        <v>2241</v>
      </c>
      <c r="B84" s="453" t="s">
        <v>428</v>
      </c>
      <c r="C84" s="294">
        <v>25468.260000000002</v>
      </c>
      <c r="D84" s="267">
        <v>104000</v>
      </c>
      <c r="E84" s="294">
        <v>25468.260000000002</v>
      </c>
      <c r="F84" s="294">
        <v>104000</v>
      </c>
      <c r="G84" s="294">
        <v>115825</v>
      </c>
      <c r="H84" s="609"/>
      <c r="I84" s="454">
        <f t="shared" si="19"/>
        <v>11825</v>
      </c>
      <c r="J84" s="275">
        <f>IFERROR(I84/ABS(F84), "-")</f>
        <v>0.11370192307692308</v>
      </c>
      <c r="K84" s="742"/>
      <c r="L84" s="268">
        <f t="shared" si="15"/>
        <v>90356.739999999991</v>
      </c>
      <c r="M84" s="269">
        <f t="shared" si="16"/>
        <v>3.5478175580114222</v>
      </c>
      <c r="N84" s="742"/>
    </row>
    <row r="85" spans="1:14" s="439" customFormat="1" x14ac:dyDescent="0.2">
      <c r="A85" s="447">
        <v>2242</v>
      </c>
      <c r="B85" s="453" t="s">
        <v>49</v>
      </c>
      <c r="C85" s="294">
        <v>1616.4899999999998</v>
      </c>
      <c r="D85" s="267">
        <v>1616.4899999999998</v>
      </c>
      <c r="E85" s="294">
        <v>1616.4899999999998</v>
      </c>
      <c r="F85" s="294">
        <v>1616.4899999999998</v>
      </c>
      <c r="G85" s="294">
        <v>1123</v>
      </c>
      <c r="H85" s="609"/>
      <c r="I85" s="454">
        <f t="shared" si="19"/>
        <v>-493.48999999999978</v>
      </c>
      <c r="J85" s="275">
        <f t="shared" si="20"/>
        <v>-0.3052849074228729</v>
      </c>
      <c r="K85" s="742"/>
      <c r="L85" s="268">
        <f t="shared" si="15"/>
        <v>-493.48999999999978</v>
      </c>
      <c r="M85" s="269">
        <f t="shared" si="16"/>
        <v>-0.3052849074228729</v>
      </c>
      <c r="N85" s="742"/>
    </row>
    <row r="86" spans="1:14" s="439" customFormat="1" ht="31.5" x14ac:dyDescent="0.2">
      <c r="A86" s="447">
        <v>2243</v>
      </c>
      <c r="B86" s="453" t="s">
        <v>50</v>
      </c>
      <c r="C86" s="294">
        <v>144135.74000000002</v>
      </c>
      <c r="D86" s="267">
        <v>207818.88800000001</v>
      </c>
      <c r="E86" s="294">
        <v>144135.74000000002</v>
      </c>
      <c r="F86" s="294">
        <v>207818.88800000001</v>
      </c>
      <c r="G86" s="294">
        <v>186169</v>
      </c>
      <c r="H86" s="609"/>
      <c r="I86" s="454">
        <f t="shared" si="19"/>
        <v>-21649.888000000006</v>
      </c>
      <c r="J86" s="275">
        <f t="shared" si="20"/>
        <v>-0.1041767098667182</v>
      </c>
      <c r="K86" s="742"/>
      <c r="L86" s="268">
        <f t="shared" si="15"/>
        <v>42033.25999999998</v>
      </c>
      <c r="M86" s="269">
        <f t="shared" si="16"/>
        <v>0.29162274394955739</v>
      </c>
      <c r="N86" s="742"/>
    </row>
    <row r="87" spans="1:14" s="439" customFormat="1" x14ac:dyDescent="0.2">
      <c r="A87" s="447">
        <v>2244</v>
      </c>
      <c r="B87" s="453" t="s">
        <v>160</v>
      </c>
      <c r="C87" s="294">
        <v>31344.940000000002</v>
      </c>
      <c r="D87" s="267">
        <v>31344.940000000002</v>
      </c>
      <c r="E87" s="294">
        <v>31344.940000000002</v>
      </c>
      <c r="F87" s="294">
        <v>31344.940000000002</v>
      </c>
      <c r="G87" s="294">
        <v>20969</v>
      </c>
      <c r="H87" s="609"/>
      <c r="I87" s="454">
        <f t="shared" si="19"/>
        <v>-10375.940000000002</v>
      </c>
      <c r="J87" s="275">
        <f t="shared" si="20"/>
        <v>-0.33102440138663536</v>
      </c>
      <c r="K87" s="742"/>
      <c r="L87" s="268">
        <f t="shared" si="15"/>
        <v>-10375.940000000002</v>
      </c>
      <c r="M87" s="269">
        <f t="shared" si="16"/>
        <v>-0.33102440138663536</v>
      </c>
      <c r="N87" s="742"/>
    </row>
    <row r="88" spans="1:14" s="439" customFormat="1" x14ac:dyDescent="0.2">
      <c r="A88" s="447">
        <v>2247</v>
      </c>
      <c r="B88" s="453" t="s">
        <v>51</v>
      </c>
      <c r="C88" s="294">
        <f>98.36+2495.41</f>
        <v>2593.77</v>
      </c>
      <c r="D88" s="267">
        <v>2593.77</v>
      </c>
      <c r="E88" s="294">
        <v>2593.77</v>
      </c>
      <c r="F88" s="294">
        <v>2593.77</v>
      </c>
      <c r="G88" s="294">
        <v>2191</v>
      </c>
      <c r="H88" s="609"/>
      <c r="I88" s="454">
        <f t="shared" si="19"/>
        <v>-402.77</v>
      </c>
      <c r="J88" s="275">
        <f t="shared" si="20"/>
        <v>-0.15528362190942141</v>
      </c>
      <c r="K88" s="742"/>
      <c r="L88" s="268">
        <f t="shared" si="15"/>
        <v>-402.77</v>
      </c>
      <c r="M88" s="269">
        <f t="shared" si="16"/>
        <v>-0.15528362190942141</v>
      </c>
      <c r="N88" s="742"/>
    </row>
    <row r="89" spans="1:14" s="439" customFormat="1" ht="168" customHeight="1" x14ac:dyDescent="0.2">
      <c r="A89" s="447">
        <v>2249</v>
      </c>
      <c r="B89" s="453" t="s">
        <v>52</v>
      </c>
      <c r="C89" s="294">
        <v>90884.26</v>
      </c>
      <c r="D89" s="267">
        <v>106771.14</v>
      </c>
      <c r="E89" s="294">
        <v>90884.26</v>
      </c>
      <c r="F89" s="294">
        <v>106771.14</v>
      </c>
      <c r="G89" s="294">
        <v>101446</v>
      </c>
      <c r="H89" s="609"/>
      <c r="I89" s="454">
        <f t="shared" si="19"/>
        <v>-5325.1399999999994</v>
      </c>
      <c r="J89" s="275">
        <f t="shared" si="20"/>
        <v>-4.9874338702387173E-2</v>
      </c>
      <c r="K89" s="743"/>
      <c r="L89" s="268">
        <f t="shared" si="15"/>
        <v>10561.740000000005</v>
      </c>
      <c r="M89" s="269">
        <f t="shared" si="16"/>
        <v>0.11621088184026591</v>
      </c>
      <c r="N89" s="743"/>
    </row>
    <row r="90" spans="1:14" s="451" customFormat="1" ht="409.5" customHeight="1" x14ac:dyDescent="0.2">
      <c r="A90" s="450">
        <v>2250</v>
      </c>
      <c r="B90" s="452" t="s">
        <v>53</v>
      </c>
      <c r="C90" s="292">
        <v>154394.18</v>
      </c>
      <c r="D90" s="293">
        <v>198586</v>
      </c>
      <c r="E90" s="292">
        <v>154394.18</v>
      </c>
      <c r="F90" s="292">
        <v>198586</v>
      </c>
      <c r="G90" s="292">
        <v>151801</v>
      </c>
      <c r="H90" s="611"/>
      <c r="I90" s="277">
        <f t="shared" si="19"/>
        <v>-46785</v>
      </c>
      <c r="J90" s="266">
        <f t="shared" si="20"/>
        <v>-0.23559062572386774</v>
      </c>
      <c r="K90" s="675" t="s">
        <v>892</v>
      </c>
      <c r="L90" s="271">
        <f t="shared" si="15"/>
        <v>-2593.179999999993</v>
      </c>
      <c r="M90" s="266">
        <f t="shared" si="16"/>
        <v>-1.6795840361340002E-2</v>
      </c>
      <c r="N90" s="689"/>
    </row>
    <row r="91" spans="1:14" s="451" customFormat="1" ht="19.5" customHeight="1" x14ac:dyDescent="0.2">
      <c r="A91" s="450">
        <v>2260</v>
      </c>
      <c r="B91" s="452" t="s">
        <v>54</v>
      </c>
      <c r="C91" s="280">
        <f t="shared" ref="C91" si="23">SUM(C92:C96)</f>
        <v>43835.569999999992</v>
      </c>
      <c r="D91" s="279">
        <v>43835.569999999992</v>
      </c>
      <c r="E91" s="280">
        <v>43835.569999999992</v>
      </c>
      <c r="F91" s="280">
        <v>43835.569999999992</v>
      </c>
      <c r="G91" s="280">
        <f t="shared" ref="G91" si="24">SUM(G92:G96)</f>
        <v>38039</v>
      </c>
      <c r="H91" s="607"/>
      <c r="I91" s="277">
        <f t="shared" si="19"/>
        <v>-5796.5699999999924</v>
      </c>
      <c r="J91" s="266">
        <f t="shared" si="20"/>
        <v>-0.13223439321081015</v>
      </c>
      <c r="K91" s="741" t="s">
        <v>953</v>
      </c>
      <c r="L91" s="277">
        <f t="shared" si="15"/>
        <v>-5796.5699999999924</v>
      </c>
      <c r="M91" s="266">
        <f t="shared" si="16"/>
        <v>-0.13223439321081015</v>
      </c>
      <c r="N91" s="741" t="s">
        <v>954</v>
      </c>
    </row>
    <row r="92" spans="1:14" s="439" customFormat="1" x14ac:dyDescent="0.2">
      <c r="A92" s="447">
        <v>2261</v>
      </c>
      <c r="B92" s="453" t="s">
        <v>55</v>
      </c>
      <c r="C92" s="294">
        <v>0</v>
      </c>
      <c r="D92" s="267">
        <v>0</v>
      </c>
      <c r="E92" s="294">
        <v>0</v>
      </c>
      <c r="F92" s="294">
        <v>0</v>
      </c>
      <c r="G92" s="294">
        <v>0</v>
      </c>
      <c r="H92" s="609"/>
      <c r="I92" s="454">
        <f t="shared" si="19"/>
        <v>0</v>
      </c>
      <c r="J92" s="275" t="str">
        <f t="shared" si="20"/>
        <v>-</v>
      </c>
      <c r="K92" s="744"/>
      <c r="L92" s="268">
        <f t="shared" si="15"/>
        <v>0</v>
      </c>
      <c r="M92" s="269" t="str">
        <f t="shared" si="16"/>
        <v>-</v>
      </c>
      <c r="N92" s="742"/>
    </row>
    <row r="93" spans="1:14" s="439" customFormat="1" x14ac:dyDescent="0.2">
      <c r="A93" s="447">
        <v>2262</v>
      </c>
      <c r="B93" s="453" t="s">
        <v>56</v>
      </c>
      <c r="C93" s="294">
        <v>0</v>
      </c>
      <c r="D93" s="267">
        <v>0</v>
      </c>
      <c r="E93" s="294">
        <v>0</v>
      </c>
      <c r="F93" s="294">
        <v>0</v>
      </c>
      <c r="G93" s="294">
        <v>0</v>
      </c>
      <c r="H93" s="609"/>
      <c r="I93" s="454">
        <f t="shared" si="19"/>
        <v>0</v>
      </c>
      <c r="J93" s="275" t="str">
        <f t="shared" si="20"/>
        <v>-</v>
      </c>
      <c r="K93" s="744"/>
      <c r="L93" s="268">
        <f t="shared" si="15"/>
        <v>0</v>
      </c>
      <c r="M93" s="269" t="str">
        <f t="shared" si="16"/>
        <v>-</v>
      </c>
      <c r="N93" s="742"/>
    </row>
    <row r="94" spans="1:14" s="439" customFormat="1" x14ac:dyDescent="0.2">
      <c r="A94" s="447">
        <v>2263</v>
      </c>
      <c r="B94" s="453" t="s">
        <v>57</v>
      </c>
      <c r="C94" s="294">
        <v>0</v>
      </c>
      <c r="D94" s="267">
        <v>0</v>
      </c>
      <c r="E94" s="294">
        <v>0</v>
      </c>
      <c r="F94" s="294">
        <v>0</v>
      </c>
      <c r="G94" s="294">
        <v>0</v>
      </c>
      <c r="H94" s="609"/>
      <c r="I94" s="454">
        <f t="shared" si="19"/>
        <v>0</v>
      </c>
      <c r="J94" s="275" t="str">
        <f t="shared" si="20"/>
        <v>-</v>
      </c>
      <c r="K94" s="744"/>
      <c r="L94" s="268">
        <f t="shared" si="15"/>
        <v>0</v>
      </c>
      <c r="M94" s="269" t="str">
        <f t="shared" si="16"/>
        <v>-</v>
      </c>
      <c r="N94" s="742"/>
    </row>
    <row r="95" spans="1:14" s="439" customFormat="1" x14ac:dyDescent="0.2">
      <c r="A95" s="447">
        <v>2264</v>
      </c>
      <c r="B95" s="453" t="s">
        <v>161</v>
      </c>
      <c r="C95" s="294">
        <v>43523.569999999992</v>
      </c>
      <c r="D95" s="267">
        <v>43523.569999999992</v>
      </c>
      <c r="E95" s="294">
        <v>43523.569999999992</v>
      </c>
      <c r="F95" s="294">
        <v>43523.569999999992</v>
      </c>
      <c r="G95" s="294">
        <v>37836</v>
      </c>
      <c r="H95" s="609"/>
      <c r="I95" s="436">
        <f t="shared" si="19"/>
        <v>-5687.5699999999924</v>
      </c>
      <c r="J95" s="275">
        <f t="shared" si="20"/>
        <v>-0.13067792922317709</v>
      </c>
      <c r="K95" s="744"/>
      <c r="L95" s="268">
        <f t="shared" si="15"/>
        <v>-5687.5699999999924</v>
      </c>
      <c r="M95" s="269">
        <f t="shared" si="16"/>
        <v>-0.13067792922317709</v>
      </c>
      <c r="N95" s="742"/>
    </row>
    <row r="96" spans="1:14" s="439" customFormat="1" ht="159.75" customHeight="1" x14ac:dyDescent="0.2">
      <c r="A96" s="447">
        <v>2269</v>
      </c>
      <c r="B96" s="453" t="s">
        <v>58</v>
      </c>
      <c r="C96" s="294">
        <v>312</v>
      </c>
      <c r="D96" s="267">
        <v>312</v>
      </c>
      <c r="E96" s="294">
        <v>312</v>
      </c>
      <c r="F96" s="294">
        <v>312</v>
      </c>
      <c r="G96" s="294">
        <v>203</v>
      </c>
      <c r="H96" s="609"/>
      <c r="I96" s="454">
        <f t="shared" si="19"/>
        <v>-109</v>
      </c>
      <c r="J96" s="275">
        <f t="shared" si="20"/>
        <v>-0.34935897435897434</v>
      </c>
      <c r="K96" s="745"/>
      <c r="L96" s="268">
        <f t="shared" si="15"/>
        <v>-109</v>
      </c>
      <c r="M96" s="269">
        <f t="shared" si="16"/>
        <v>-0.34935897435897434</v>
      </c>
      <c r="N96" s="743"/>
    </row>
    <row r="97" spans="1:14" s="439" customFormat="1" ht="19.5" customHeight="1" x14ac:dyDescent="0.2">
      <c r="A97" s="450">
        <v>2270</v>
      </c>
      <c r="B97" s="452" t="s">
        <v>429</v>
      </c>
      <c r="C97" s="280">
        <f t="shared" ref="C97" si="25">SUM(C98:C101)</f>
        <v>5260.48</v>
      </c>
      <c r="D97" s="279">
        <v>5260.48</v>
      </c>
      <c r="E97" s="280">
        <v>5260.48</v>
      </c>
      <c r="F97" s="280">
        <v>5260.48</v>
      </c>
      <c r="G97" s="280">
        <f t="shared" ref="G97" si="26">SUM(G98:G101)</f>
        <v>4514</v>
      </c>
      <c r="H97" s="607"/>
      <c r="I97" s="277">
        <f t="shared" si="19"/>
        <v>-746.47999999999956</v>
      </c>
      <c r="J97" s="266">
        <f t="shared" si="20"/>
        <v>-0.14190340045014896</v>
      </c>
      <c r="K97" s="741" t="s">
        <v>946</v>
      </c>
      <c r="L97" s="277">
        <f t="shared" si="15"/>
        <v>-746.47999999999956</v>
      </c>
      <c r="M97" s="266">
        <f t="shared" si="16"/>
        <v>-0.14190340045014896</v>
      </c>
      <c r="N97" s="741" t="s">
        <v>947</v>
      </c>
    </row>
    <row r="98" spans="1:14" s="439" customFormat="1" x14ac:dyDescent="0.2">
      <c r="A98" s="447">
        <v>2272</v>
      </c>
      <c r="B98" s="453" t="s">
        <v>59</v>
      </c>
      <c r="C98" s="294">
        <v>0</v>
      </c>
      <c r="D98" s="267">
        <v>0</v>
      </c>
      <c r="E98" s="294">
        <v>0</v>
      </c>
      <c r="F98" s="294">
        <v>0</v>
      </c>
      <c r="G98" s="294">
        <v>0</v>
      </c>
      <c r="H98" s="609"/>
      <c r="I98" s="277">
        <f t="shared" si="19"/>
        <v>0</v>
      </c>
      <c r="J98" s="266" t="str">
        <f t="shared" si="20"/>
        <v>-</v>
      </c>
      <c r="K98" s="742"/>
      <c r="L98" s="268">
        <f t="shared" si="15"/>
        <v>0</v>
      </c>
      <c r="M98" s="269" t="str">
        <f t="shared" si="16"/>
        <v>-</v>
      </c>
      <c r="N98" s="742"/>
    </row>
    <row r="99" spans="1:14" s="439" customFormat="1" ht="31.5" x14ac:dyDescent="0.2">
      <c r="A99" s="447">
        <v>2273</v>
      </c>
      <c r="B99" s="453" t="s">
        <v>60</v>
      </c>
      <c r="C99" s="294">
        <v>0</v>
      </c>
      <c r="D99" s="267">
        <v>0</v>
      </c>
      <c r="E99" s="294">
        <v>0</v>
      </c>
      <c r="F99" s="294">
        <v>0</v>
      </c>
      <c r="G99" s="294">
        <v>0</v>
      </c>
      <c r="H99" s="609"/>
      <c r="I99" s="277">
        <f t="shared" si="19"/>
        <v>0</v>
      </c>
      <c r="J99" s="266" t="str">
        <f t="shared" si="20"/>
        <v>-</v>
      </c>
      <c r="K99" s="742"/>
      <c r="L99" s="268">
        <f t="shared" si="15"/>
        <v>0</v>
      </c>
      <c r="M99" s="269" t="str">
        <f t="shared" si="16"/>
        <v>-</v>
      </c>
      <c r="N99" s="742"/>
    </row>
    <row r="100" spans="1:14" s="439" customFormat="1" ht="31.5" x14ac:dyDescent="0.2">
      <c r="A100" s="447">
        <v>2274</v>
      </c>
      <c r="B100" s="453" t="s">
        <v>430</v>
      </c>
      <c r="C100" s="294">
        <v>0</v>
      </c>
      <c r="D100" s="267">
        <v>0</v>
      </c>
      <c r="E100" s="294">
        <v>0</v>
      </c>
      <c r="F100" s="294">
        <v>0</v>
      </c>
      <c r="G100" s="294">
        <v>0</v>
      </c>
      <c r="H100" s="609"/>
      <c r="I100" s="277">
        <f t="shared" si="19"/>
        <v>0</v>
      </c>
      <c r="J100" s="266" t="str">
        <f t="shared" si="20"/>
        <v>-</v>
      </c>
      <c r="K100" s="742"/>
      <c r="L100" s="268">
        <f t="shared" si="15"/>
        <v>0</v>
      </c>
      <c r="M100" s="269" t="str">
        <f t="shared" si="16"/>
        <v>-</v>
      </c>
      <c r="N100" s="742"/>
    </row>
    <row r="101" spans="1:14" s="439" customFormat="1" ht="105" customHeight="1" x14ac:dyDescent="0.2">
      <c r="A101" s="447">
        <v>2276</v>
      </c>
      <c r="B101" s="453" t="s">
        <v>162</v>
      </c>
      <c r="C101" s="294">
        <v>5260.48</v>
      </c>
      <c r="D101" s="267">
        <v>5260.48</v>
      </c>
      <c r="E101" s="294">
        <v>5260.48</v>
      </c>
      <c r="F101" s="294">
        <v>5260.48</v>
      </c>
      <c r="G101" s="294">
        <v>4514</v>
      </c>
      <c r="H101" s="609"/>
      <c r="I101" s="277">
        <f t="shared" si="19"/>
        <v>-746.47999999999956</v>
      </c>
      <c r="J101" s="266">
        <f t="shared" si="20"/>
        <v>-0.14190340045014896</v>
      </c>
      <c r="K101" s="743"/>
      <c r="L101" s="268">
        <f t="shared" si="15"/>
        <v>-746.47999999999956</v>
      </c>
      <c r="M101" s="269">
        <f t="shared" si="16"/>
        <v>-0.14190340045014896</v>
      </c>
      <c r="N101" s="743"/>
    </row>
    <row r="102" spans="1:14" s="439" customFormat="1" ht="121.5" customHeight="1" x14ac:dyDescent="0.2">
      <c r="A102" s="450">
        <v>2280</v>
      </c>
      <c r="B102" s="452" t="s">
        <v>61</v>
      </c>
      <c r="C102" s="292">
        <v>2930.65</v>
      </c>
      <c r="D102" s="293">
        <v>2930.65</v>
      </c>
      <c r="E102" s="292">
        <v>2930.65</v>
      </c>
      <c r="F102" s="292">
        <v>2930.65</v>
      </c>
      <c r="G102" s="292">
        <v>2405</v>
      </c>
      <c r="H102" s="611"/>
      <c r="I102" s="277">
        <f t="shared" si="19"/>
        <v>-525.65000000000009</v>
      </c>
      <c r="J102" s="266">
        <f>IFERROR(I102/ABS(F102), "-")</f>
        <v>-0.17936293996212446</v>
      </c>
      <c r="K102" s="675" t="s">
        <v>936</v>
      </c>
      <c r="L102" s="271">
        <f t="shared" si="15"/>
        <v>-525.65000000000009</v>
      </c>
      <c r="M102" s="266">
        <f t="shared" si="16"/>
        <v>-0.17936293996212446</v>
      </c>
      <c r="N102" s="675" t="s">
        <v>937</v>
      </c>
    </row>
    <row r="103" spans="1:14" s="451" customFormat="1" ht="75" customHeight="1" x14ac:dyDescent="0.2">
      <c r="A103" s="437">
        <v>2300</v>
      </c>
      <c r="B103" s="452" t="s">
        <v>62</v>
      </c>
      <c r="C103" s="280">
        <f>C104+C109+C113+C114+C128+C129+C136+C137+C138</f>
        <v>4690137.9000000004</v>
      </c>
      <c r="D103" s="276">
        <v>4950087.319600001</v>
      </c>
      <c r="E103" s="280">
        <v>4690137.9000000004</v>
      </c>
      <c r="F103" s="280">
        <v>4950087.319600001</v>
      </c>
      <c r="G103" s="280">
        <f>G104+G109+G113+G114+G128+G129+G136+G137+G138</f>
        <v>5122141.9399999995</v>
      </c>
      <c r="H103" s="607"/>
      <c r="I103" s="277">
        <f t="shared" si="19"/>
        <v>172054.6203999985</v>
      </c>
      <c r="J103" s="266">
        <f t="shared" si="20"/>
        <v>3.4757896031195994E-2</v>
      </c>
      <c r="K103" s="671"/>
      <c r="L103" s="277">
        <f t="shared" si="15"/>
        <v>432004.03999999911</v>
      </c>
      <c r="M103" s="266">
        <f t="shared" si="16"/>
        <v>9.2109027327319959E-2</v>
      </c>
      <c r="N103" s="671"/>
    </row>
    <row r="104" spans="1:14" s="439" customFormat="1" ht="31.5" customHeight="1" x14ac:dyDescent="0.2">
      <c r="A104" s="450">
        <v>2310</v>
      </c>
      <c r="B104" s="452" t="s">
        <v>431</v>
      </c>
      <c r="C104" s="280">
        <f t="shared" ref="C104" si="27">SUM(C105:C108)</f>
        <v>98988.909999999974</v>
      </c>
      <c r="D104" s="279">
        <v>92542.37</v>
      </c>
      <c r="E104" s="280">
        <v>98988.909999999974</v>
      </c>
      <c r="F104" s="280">
        <v>92542.37</v>
      </c>
      <c r="G104" s="280">
        <f t="shared" ref="G104" si="28">SUM(G105:G108)</f>
        <v>140788</v>
      </c>
      <c r="H104" s="607"/>
      <c r="I104" s="277">
        <f t="shared" si="19"/>
        <v>48245.630000000005</v>
      </c>
      <c r="J104" s="266">
        <f t="shared" si="20"/>
        <v>0.52133557850312251</v>
      </c>
      <c r="K104" s="741" t="s">
        <v>950</v>
      </c>
      <c r="L104" s="277">
        <f t="shared" si="15"/>
        <v>41799.090000000026</v>
      </c>
      <c r="M104" s="266">
        <f t="shared" si="16"/>
        <v>0.42226033199072538</v>
      </c>
      <c r="N104" s="741" t="s">
        <v>951</v>
      </c>
    </row>
    <row r="105" spans="1:14" s="439" customFormat="1" x14ac:dyDescent="0.2">
      <c r="A105" s="447">
        <v>2311</v>
      </c>
      <c r="B105" s="453" t="s">
        <v>63</v>
      </c>
      <c r="C105" s="294">
        <v>9243.119999999999</v>
      </c>
      <c r="D105" s="267">
        <v>9243.119999999999</v>
      </c>
      <c r="E105" s="294">
        <v>9243.119999999999</v>
      </c>
      <c r="F105" s="294">
        <v>9243.119999999999</v>
      </c>
      <c r="G105" s="294">
        <f>7906+491</f>
        <v>8397</v>
      </c>
      <c r="H105" s="609"/>
      <c r="I105" s="277">
        <f t="shared" si="19"/>
        <v>-846.11999999999898</v>
      </c>
      <c r="J105" s="266">
        <f t="shared" si="20"/>
        <v>-9.1540518785864416E-2</v>
      </c>
      <c r="K105" s="742"/>
      <c r="L105" s="268">
        <f t="shared" si="15"/>
        <v>-846.11999999999898</v>
      </c>
      <c r="M105" s="269">
        <f t="shared" si="16"/>
        <v>-9.1540518785864416E-2</v>
      </c>
      <c r="N105" s="742"/>
    </row>
    <row r="106" spans="1:14" s="439" customFormat="1" x14ac:dyDescent="0.2">
      <c r="A106" s="447">
        <v>2312</v>
      </c>
      <c r="B106" s="453" t="s">
        <v>64</v>
      </c>
      <c r="C106" s="294">
        <v>41273.06</v>
      </c>
      <c r="D106" s="267">
        <v>22919.25</v>
      </c>
      <c r="E106" s="294">
        <v>41273.06</v>
      </c>
      <c r="F106" s="294">
        <v>22919.25</v>
      </c>
      <c r="G106" s="294">
        <v>62472</v>
      </c>
      <c r="H106" s="609"/>
      <c r="I106" s="277">
        <f t="shared" si="19"/>
        <v>39552.75</v>
      </c>
      <c r="J106" s="266">
        <f t="shared" si="20"/>
        <v>1.72574364344383</v>
      </c>
      <c r="K106" s="742"/>
      <c r="L106" s="268">
        <f t="shared" si="15"/>
        <v>21198.940000000002</v>
      </c>
      <c r="M106" s="269">
        <f t="shared" si="16"/>
        <v>0.51362656415589258</v>
      </c>
      <c r="N106" s="742"/>
    </row>
    <row r="107" spans="1:14" s="451" customFormat="1" x14ac:dyDescent="0.2">
      <c r="A107" s="447">
        <v>2313</v>
      </c>
      <c r="B107" s="453" t="s">
        <v>432</v>
      </c>
      <c r="C107" s="294">
        <v>48472.729999999989</v>
      </c>
      <c r="D107" s="267">
        <v>60380</v>
      </c>
      <c r="E107" s="294">
        <v>48472.729999999989</v>
      </c>
      <c r="F107" s="294">
        <v>60380</v>
      </c>
      <c r="G107" s="294">
        <v>69919</v>
      </c>
      <c r="H107" s="609"/>
      <c r="I107" s="277">
        <f t="shared" si="19"/>
        <v>9539</v>
      </c>
      <c r="J107" s="266">
        <f t="shared" si="20"/>
        <v>0.15798277575356079</v>
      </c>
      <c r="K107" s="742"/>
      <c r="L107" s="268">
        <f t="shared" si="15"/>
        <v>21446.270000000011</v>
      </c>
      <c r="M107" s="269">
        <f t="shared" si="16"/>
        <v>0.4424399038387154</v>
      </c>
      <c r="N107" s="742"/>
    </row>
    <row r="108" spans="1:14" s="439" customFormat="1" ht="210" customHeight="1" x14ac:dyDescent="0.2">
      <c r="A108" s="447">
        <v>2314</v>
      </c>
      <c r="B108" s="453" t="s">
        <v>433</v>
      </c>
      <c r="C108" s="294">
        <v>0</v>
      </c>
      <c r="D108" s="267">
        <v>0</v>
      </c>
      <c r="E108" s="294">
        <v>0</v>
      </c>
      <c r="F108" s="294">
        <v>0</v>
      </c>
      <c r="G108" s="294">
        <v>0</v>
      </c>
      <c r="H108" s="609"/>
      <c r="I108" s="277">
        <f t="shared" si="19"/>
        <v>0</v>
      </c>
      <c r="J108" s="266" t="str">
        <f t="shared" si="20"/>
        <v>-</v>
      </c>
      <c r="K108" s="743"/>
      <c r="L108" s="268">
        <f t="shared" si="15"/>
        <v>0</v>
      </c>
      <c r="M108" s="269" t="str">
        <f t="shared" si="16"/>
        <v>-</v>
      </c>
      <c r="N108" s="743"/>
    </row>
    <row r="109" spans="1:14" s="439" customFormat="1" ht="43.5" customHeight="1" x14ac:dyDescent="0.2">
      <c r="A109" s="450">
        <v>2320</v>
      </c>
      <c r="B109" s="452" t="s">
        <v>65</v>
      </c>
      <c r="C109" s="280">
        <f t="shared" ref="C109" si="29">SUM(C110:C112)</f>
        <v>1415.8899999999999</v>
      </c>
      <c r="D109" s="279">
        <v>1415.8899999999999</v>
      </c>
      <c r="E109" s="280">
        <v>1415.8899999999999</v>
      </c>
      <c r="F109" s="280">
        <v>1415.8899999999999</v>
      </c>
      <c r="G109" s="280">
        <f t="shared" ref="G109" si="30">SUM(G110:G112)</f>
        <v>1537</v>
      </c>
      <c r="H109" s="607"/>
      <c r="I109" s="277">
        <f t="shared" si="19"/>
        <v>121.11000000000013</v>
      </c>
      <c r="J109" s="266">
        <f t="shared" si="20"/>
        <v>8.5536305786466565E-2</v>
      </c>
      <c r="K109" s="741" t="s">
        <v>938</v>
      </c>
      <c r="L109" s="277">
        <f t="shared" si="15"/>
        <v>121.11000000000013</v>
      </c>
      <c r="M109" s="266">
        <f t="shared" si="16"/>
        <v>8.5536305786466565E-2</v>
      </c>
      <c r="N109" s="741" t="s">
        <v>939</v>
      </c>
    </row>
    <row r="110" spans="1:14" s="439" customFormat="1" x14ac:dyDescent="0.2">
      <c r="A110" s="447">
        <v>2321</v>
      </c>
      <c r="B110" s="453" t="s">
        <v>66</v>
      </c>
      <c r="C110" s="294">
        <v>0</v>
      </c>
      <c r="D110" s="267">
        <v>0</v>
      </c>
      <c r="E110" s="294">
        <v>0</v>
      </c>
      <c r="F110" s="294">
        <v>0</v>
      </c>
      <c r="G110" s="294">
        <v>0</v>
      </c>
      <c r="H110" s="609"/>
      <c r="I110" s="277">
        <f t="shared" si="19"/>
        <v>0</v>
      </c>
      <c r="J110" s="266" t="str">
        <f t="shared" si="20"/>
        <v>-</v>
      </c>
      <c r="K110" s="742"/>
      <c r="L110" s="268">
        <f t="shared" si="15"/>
        <v>0</v>
      </c>
      <c r="M110" s="269" t="str">
        <f t="shared" si="16"/>
        <v>-</v>
      </c>
      <c r="N110" s="742"/>
    </row>
    <row r="111" spans="1:14" s="451" customFormat="1" x14ac:dyDescent="0.2">
      <c r="A111" s="447">
        <v>2322</v>
      </c>
      <c r="B111" s="453" t="s">
        <v>67</v>
      </c>
      <c r="C111" s="294">
        <v>1415.8899999999999</v>
      </c>
      <c r="D111" s="267">
        <v>1415.8899999999999</v>
      </c>
      <c r="E111" s="294">
        <v>1415.8899999999999</v>
      </c>
      <c r="F111" s="294">
        <v>1415.8899999999999</v>
      </c>
      <c r="G111" s="294">
        <v>1537</v>
      </c>
      <c r="H111" s="609"/>
      <c r="I111" s="277">
        <f t="shared" si="19"/>
        <v>121.11000000000013</v>
      </c>
      <c r="J111" s="266">
        <f t="shared" si="20"/>
        <v>8.5536305786466565E-2</v>
      </c>
      <c r="K111" s="742"/>
      <c r="L111" s="268">
        <f t="shared" si="15"/>
        <v>121.11000000000013</v>
      </c>
      <c r="M111" s="269">
        <f t="shared" si="16"/>
        <v>8.5536305786466565E-2</v>
      </c>
      <c r="N111" s="742"/>
    </row>
    <row r="112" spans="1:14" s="451" customFormat="1" ht="31.5" customHeight="1" x14ac:dyDescent="0.2">
      <c r="A112" s="447">
        <v>2329</v>
      </c>
      <c r="B112" s="453" t="s">
        <v>68</v>
      </c>
      <c r="C112" s="294">
        <v>0</v>
      </c>
      <c r="D112" s="267">
        <v>0</v>
      </c>
      <c r="E112" s="294">
        <v>0</v>
      </c>
      <c r="F112" s="294">
        <v>0</v>
      </c>
      <c r="G112" s="294">
        <v>0</v>
      </c>
      <c r="H112" s="609"/>
      <c r="I112" s="277">
        <f t="shared" si="19"/>
        <v>0</v>
      </c>
      <c r="J112" s="266" t="str">
        <f t="shared" si="20"/>
        <v>-</v>
      </c>
      <c r="K112" s="743"/>
      <c r="L112" s="268">
        <f t="shared" si="15"/>
        <v>0</v>
      </c>
      <c r="M112" s="269" t="str">
        <f t="shared" si="16"/>
        <v>-</v>
      </c>
      <c r="N112" s="743"/>
    </row>
    <row r="113" spans="1:14" s="439" customFormat="1" ht="19.5" customHeight="1" x14ac:dyDescent="0.2">
      <c r="A113" s="450">
        <v>2330</v>
      </c>
      <c r="B113" s="452" t="s">
        <v>69</v>
      </c>
      <c r="C113" s="292">
        <v>0</v>
      </c>
      <c r="D113" s="293">
        <v>0</v>
      </c>
      <c r="E113" s="292">
        <v>0</v>
      </c>
      <c r="F113" s="292">
        <v>0</v>
      </c>
      <c r="G113" s="292">
        <v>0</v>
      </c>
      <c r="H113" s="611"/>
      <c r="I113" s="277">
        <f t="shared" si="19"/>
        <v>0</v>
      </c>
      <c r="J113" s="266" t="str">
        <f t="shared" si="20"/>
        <v>-</v>
      </c>
      <c r="K113" s="674"/>
      <c r="L113" s="271">
        <f t="shared" si="15"/>
        <v>0</v>
      </c>
      <c r="M113" s="266" t="str">
        <f t="shared" si="16"/>
        <v>-</v>
      </c>
      <c r="N113" s="674"/>
    </row>
    <row r="114" spans="1:14" s="439" customFormat="1" ht="93.75" customHeight="1" x14ac:dyDescent="0.2">
      <c r="A114" s="450">
        <v>2340</v>
      </c>
      <c r="B114" s="452" t="s">
        <v>70</v>
      </c>
      <c r="C114" s="292">
        <f t="shared" ref="C114" si="31">C115+C121+C124</f>
        <v>4419229.74</v>
      </c>
      <c r="D114" s="293">
        <v>4559415.4256000007</v>
      </c>
      <c r="E114" s="292">
        <v>4419229.74</v>
      </c>
      <c r="F114" s="292">
        <v>4559415.4256000007</v>
      </c>
      <c r="G114" s="292">
        <f t="shared" ref="G114" si="32">G115+G121+G124</f>
        <v>4806583.9399999995</v>
      </c>
      <c r="H114" s="611"/>
      <c r="I114" s="277">
        <f t="shared" si="19"/>
        <v>247168.51439999882</v>
      </c>
      <c r="J114" s="266">
        <f t="shared" si="20"/>
        <v>5.4210571164936661E-2</v>
      </c>
      <c r="K114" s="680"/>
      <c r="L114" s="271">
        <f t="shared" si="15"/>
        <v>387354.19999999925</v>
      </c>
      <c r="M114" s="266">
        <f t="shared" si="16"/>
        <v>8.7651971675950763E-2</v>
      </c>
      <c r="N114" s="680"/>
    </row>
    <row r="115" spans="1:14" s="439" customFormat="1" ht="45" customHeight="1" x14ac:dyDescent="0.2">
      <c r="A115" s="437">
        <v>2341</v>
      </c>
      <c r="B115" s="452" t="s">
        <v>71</v>
      </c>
      <c r="C115" s="280">
        <f t="shared" ref="C115" si="33">SUM(C116:C120)</f>
        <v>539218.32000000007</v>
      </c>
      <c r="D115" s="279">
        <v>555394.86960000009</v>
      </c>
      <c r="E115" s="280">
        <v>539218.32000000007</v>
      </c>
      <c r="F115" s="280">
        <v>555394.86960000009</v>
      </c>
      <c r="G115" s="280">
        <f t="shared" ref="G115" si="34">SUM(G116:G120)</f>
        <v>593309</v>
      </c>
      <c r="H115" s="607"/>
      <c r="I115" s="580">
        <f t="shared" si="19"/>
        <v>37914.130399999907</v>
      </c>
      <c r="J115" s="581">
        <f t="shared" si="20"/>
        <v>6.8265179380043561E-2</v>
      </c>
      <c r="K115" s="681"/>
      <c r="L115" s="580">
        <f t="shared" si="15"/>
        <v>54090.679999999935</v>
      </c>
      <c r="M115" s="581">
        <f t="shared" si="16"/>
        <v>0.10031313476144492</v>
      </c>
      <c r="N115" s="681"/>
    </row>
    <row r="116" spans="1:14" s="439" customFormat="1" ht="139.5" customHeight="1" x14ac:dyDescent="0.2">
      <c r="A116" s="447">
        <v>23411</v>
      </c>
      <c r="B116" s="455" t="s">
        <v>328</v>
      </c>
      <c r="C116" s="321">
        <v>437316.57000000007</v>
      </c>
      <c r="D116" s="267">
        <v>450436.06710000004</v>
      </c>
      <c r="E116" s="321">
        <v>437316.57000000007</v>
      </c>
      <c r="F116" s="294">
        <v>450436.06710000004</v>
      </c>
      <c r="G116" s="321">
        <v>459892</v>
      </c>
      <c r="H116" s="610"/>
      <c r="I116" s="277">
        <f t="shared" si="19"/>
        <v>9455.9328999999561</v>
      </c>
      <c r="J116" s="266">
        <f t="shared" si="20"/>
        <v>2.0992841361215132E-2</v>
      </c>
      <c r="K116" s="682"/>
      <c r="L116" s="268">
        <f t="shared" si="15"/>
        <v>22575.429999999935</v>
      </c>
      <c r="M116" s="269">
        <f t="shared" si="16"/>
        <v>5.1622626602051531E-2</v>
      </c>
      <c r="N116" s="729" t="s">
        <v>940</v>
      </c>
    </row>
    <row r="117" spans="1:14" s="439" customFormat="1" ht="78.75" x14ac:dyDescent="0.2">
      <c r="A117" s="447">
        <v>23412</v>
      </c>
      <c r="B117" s="455" t="s">
        <v>344</v>
      </c>
      <c r="C117" s="321">
        <v>32566.240000000002</v>
      </c>
      <c r="D117" s="267">
        <v>33543.227200000008</v>
      </c>
      <c r="E117" s="321">
        <v>32566.240000000002</v>
      </c>
      <c r="F117" s="294">
        <v>33543.227200000008</v>
      </c>
      <c r="G117" s="321">
        <v>40890</v>
      </c>
      <c r="H117" s="610"/>
      <c r="I117" s="277">
        <f t="shared" si="19"/>
        <v>7346.7727999999915</v>
      </c>
      <c r="J117" s="266">
        <f t="shared" si="20"/>
        <v>0.21902402998361439</v>
      </c>
      <c r="K117" s="664" t="s">
        <v>941</v>
      </c>
      <c r="L117" s="268">
        <f t="shared" si="15"/>
        <v>8323.7599999999984</v>
      </c>
      <c r="M117" s="269">
        <f t="shared" si="16"/>
        <v>0.25559475088312306</v>
      </c>
      <c r="N117" s="664" t="s">
        <v>944</v>
      </c>
    </row>
    <row r="118" spans="1:14" s="439" customFormat="1" x14ac:dyDescent="0.2">
      <c r="A118" s="447">
        <v>23413</v>
      </c>
      <c r="B118" s="455" t="s">
        <v>343</v>
      </c>
      <c r="C118" s="321">
        <v>69335.510000000009</v>
      </c>
      <c r="D118" s="267">
        <v>71415.575299999997</v>
      </c>
      <c r="E118" s="321">
        <v>69335.510000000009</v>
      </c>
      <c r="F118" s="294">
        <v>71415.575299999997</v>
      </c>
      <c r="G118" s="321">
        <v>92527</v>
      </c>
      <c r="H118" s="610"/>
      <c r="I118" s="277">
        <f t="shared" si="19"/>
        <v>21111.424700000003</v>
      </c>
      <c r="J118" s="266">
        <f t="shared" si="20"/>
        <v>0.29561373147686459</v>
      </c>
      <c r="K118" s="732" t="s">
        <v>806</v>
      </c>
      <c r="L118" s="268">
        <f t="shared" si="15"/>
        <v>23191.489999999991</v>
      </c>
      <c r="M118" s="269">
        <f t="shared" si="16"/>
        <v>0.33448214342117027</v>
      </c>
      <c r="N118" s="732" t="s">
        <v>806</v>
      </c>
    </row>
    <row r="119" spans="1:14" s="439" customFormat="1" ht="31.5" x14ac:dyDescent="0.2">
      <c r="A119" s="447">
        <v>23415</v>
      </c>
      <c r="B119" s="455" t="s">
        <v>329</v>
      </c>
      <c r="C119" s="321">
        <v>0</v>
      </c>
      <c r="D119" s="267">
        <v>0</v>
      </c>
      <c r="E119" s="321">
        <v>0</v>
      </c>
      <c r="F119" s="294">
        <v>0</v>
      </c>
      <c r="G119" s="321"/>
      <c r="H119" s="610"/>
      <c r="I119" s="277">
        <f t="shared" si="19"/>
        <v>0</v>
      </c>
      <c r="J119" s="266" t="str">
        <f t="shared" si="20"/>
        <v>-</v>
      </c>
      <c r="K119" s="683"/>
      <c r="L119" s="268">
        <f t="shared" si="15"/>
        <v>0</v>
      </c>
      <c r="M119" s="269" t="str">
        <f t="shared" si="16"/>
        <v>-</v>
      </c>
      <c r="N119" s="448"/>
    </row>
    <row r="120" spans="1:14" s="439" customFormat="1" ht="54.75" customHeight="1" x14ac:dyDescent="0.2">
      <c r="A120" s="447">
        <v>23416</v>
      </c>
      <c r="B120" s="455" t="s">
        <v>330</v>
      </c>
      <c r="C120" s="321">
        <v>0</v>
      </c>
      <c r="D120" s="267">
        <v>0</v>
      </c>
      <c r="E120" s="321">
        <v>0</v>
      </c>
      <c r="F120" s="294">
        <v>0</v>
      </c>
      <c r="G120" s="321">
        <v>0</v>
      </c>
      <c r="H120" s="610"/>
      <c r="I120" s="277">
        <f t="shared" si="19"/>
        <v>0</v>
      </c>
      <c r="J120" s="266" t="str">
        <f t="shared" si="20"/>
        <v>-</v>
      </c>
      <c r="K120" s="684"/>
      <c r="L120" s="268">
        <f t="shared" si="15"/>
        <v>0</v>
      </c>
      <c r="M120" s="269" t="str">
        <f t="shared" si="16"/>
        <v>-</v>
      </c>
      <c r="N120" s="448"/>
    </row>
    <row r="121" spans="1:14" s="451" customFormat="1" ht="19.5" customHeight="1" x14ac:dyDescent="0.2">
      <c r="A121" s="437">
        <v>2343</v>
      </c>
      <c r="B121" s="452" t="s">
        <v>355</v>
      </c>
      <c r="C121" s="280">
        <f t="shared" ref="C121" si="35">SUM(C122:C123)</f>
        <v>124582.15000000001</v>
      </c>
      <c r="D121" s="279">
        <v>137040.36500000002</v>
      </c>
      <c r="E121" s="280">
        <v>124582.15000000001</v>
      </c>
      <c r="F121" s="280">
        <v>137040.36500000002</v>
      </c>
      <c r="G121" s="280">
        <f t="shared" ref="G121" si="36">SUM(G122:G123)</f>
        <v>162427</v>
      </c>
      <c r="H121" s="607"/>
      <c r="I121" s="277">
        <f t="shared" si="19"/>
        <v>25386.63499999998</v>
      </c>
      <c r="J121" s="266">
        <f t="shared" si="20"/>
        <v>0.18524932416810169</v>
      </c>
      <c r="K121" s="738" t="s">
        <v>712</v>
      </c>
      <c r="L121" s="456">
        <f t="shared" si="15"/>
        <v>37844.849999999991</v>
      </c>
      <c r="M121" s="266">
        <f t="shared" si="16"/>
        <v>0.30377425658491197</v>
      </c>
      <c r="N121" s="738" t="s">
        <v>932</v>
      </c>
    </row>
    <row r="122" spans="1:14" s="451" customFormat="1" x14ac:dyDescent="0.2">
      <c r="A122" s="447">
        <v>23431</v>
      </c>
      <c r="B122" s="455" t="s">
        <v>285</v>
      </c>
      <c r="C122" s="321">
        <v>124582.15000000001</v>
      </c>
      <c r="D122" s="267">
        <v>137040.36500000002</v>
      </c>
      <c r="E122" s="321">
        <v>124582.15000000001</v>
      </c>
      <c r="F122" s="294">
        <v>137040.36500000002</v>
      </c>
      <c r="G122" s="321">
        <v>162427</v>
      </c>
      <c r="H122" s="610"/>
      <c r="I122" s="277">
        <f t="shared" si="19"/>
        <v>25386.63499999998</v>
      </c>
      <c r="J122" s="266">
        <f t="shared" si="20"/>
        <v>0.18524932416810169</v>
      </c>
      <c r="K122" s="739"/>
      <c r="L122" s="268">
        <f t="shared" si="15"/>
        <v>37844.849999999991</v>
      </c>
      <c r="M122" s="269">
        <f t="shared" si="16"/>
        <v>0.30377425658491197</v>
      </c>
      <c r="N122" s="739"/>
    </row>
    <row r="123" spans="1:14" s="451" customFormat="1" ht="95.25" customHeight="1" x14ac:dyDescent="0.2">
      <c r="A123" s="447">
        <v>23432</v>
      </c>
      <c r="B123" s="455" t="s">
        <v>289</v>
      </c>
      <c r="C123" s="321">
        <v>0</v>
      </c>
      <c r="D123" s="267">
        <v>0</v>
      </c>
      <c r="E123" s="321">
        <v>0</v>
      </c>
      <c r="F123" s="294">
        <v>0</v>
      </c>
      <c r="G123" s="321">
        <v>0</v>
      </c>
      <c r="H123" s="610"/>
      <c r="I123" s="277">
        <f t="shared" si="19"/>
        <v>0</v>
      </c>
      <c r="J123" s="266" t="str">
        <f t="shared" si="20"/>
        <v>-</v>
      </c>
      <c r="K123" s="740"/>
      <c r="L123" s="268">
        <f t="shared" si="15"/>
        <v>0</v>
      </c>
      <c r="M123" s="269" t="str">
        <f t="shared" si="16"/>
        <v>-</v>
      </c>
      <c r="N123" s="740"/>
    </row>
    <row r="124" spans="1:14" s="451" customFormat="1" ht="96" customHeight="1" x14ac:dyDescent="0.2">
      <c r="A124" s="437">
        <v>2344</v>
      </c>
      <c r="B124" s="452" t="s">
        <v>357</v>
      </c>
      <c r="C124" s="280">
        <f>SUM(C125:C127)</f>
        <v>3755429.27</v>
      </c>
      <c r="D124" s="279">
        <v>3866980.1910000006</v>
      </c>
      <c r="E124" s="280">
        <v>3755429.27</v>
      </c>
      <c r="F124" s="280">
        <v>3866980.1910000006</v>
      </c>
      <c r="G124" s="280">
        <f>SUM(G125:G127)</f>
        <v>4050847.94</v>
      </c>
      <c r="H124" s="607"/>
      <c r="I124" s="277">
        <f t="shared" si="19"/>
        <v>183867.74899999937</v>
      </c>
      <c r="J124" s="266">
        <f t="shared" si="20"/>
        <v>4.7548148663376318E-2</v>
      </c>
      <c r="K124" s="685"/>
      <c r="L124" s="277">
        <f t="shared" si="15"/>
        <v>295418.66999999993</v>
      </c>
      <c r="M124" s="266">
        <f t="shared" si="16"/>
        <v>7.866442123139758E-2</v>
      </c>
      <c r="N124" s="678"/>
    </row>
    <row r="125" spans="1:14" s="451" customFormat="1" ht="28.5" customHeight="1" x14ac:dyDescent="0.2">
      <c r="A125" s="447">
        <v>23441</v>
      </c>
      <c r="B125" s="453" t="s">
        <v>286</v>
      </c>
      <c r="C125" s="294">
        <f>330.01+735242.2</f>
        <v>735572.21</v>
      </c>
      <c r="D125" s="267">
        <v>756187.50890000013</v>
      </c>
      <c r="E125" s="294">
        <v>735572.21</v>
      </c>
      <c r="F125" s="294">
        <v>756187.50890000013</v>
      </c>
      <c r="G125" s="294">
        <f>996234+3016.88</f>
        <v>999250.88</v>
      </c>
      <c r="H125" s="609"/>
      <c r="I125" s="277">
        <f t="shared" si="19"/>
        <v>243063.37109999987</v>
      </c>
      <c r="J125" s="266">
        <f t="shared" si="20"/>
        <v>0.321432671446234</v>
      </c>
      <c r="K125" s="738" t="s">
        <v>807</v>
      </c>
      <c r="L125" s="268">
        <f t="shared" si="15"/>
        <v>263678.67000000004</v>
      </c>
      <c r="M125" s="269">
        <f t="shared" si="16"/>
        <v>0.35846741681554289</v>
      </c>
      <c r="N125" s="738" t="s">
        <v>810</v>
      </c>
    </row>
    <row r="126" spans="1:14" s="451" customFormat="1" ht="66" customHeight="1" x14ac:dyDescent="0.2">
      <c r="A126" s="447">
        <v>23442</v>
      </c>
      <c r="B126" s="453" t="s">
        <v>287</v>
      </c>
      <c r="C126" s="294">
        <v>3001878.69</v>
      </c>
      <c r="D126" s="267">
        <v>3092274.9610000001</v>
      </c>
      <c r="E126" s="294">
        <v>3001878.69</v>
      </c>
      <c r="F126" s="294">
        <v>3092274.9610000001</v>
      </c>
      <c r="G126" s="294">
        <f>3013215+11058.06</f>
        <v>3024273.06</v>
      </c>
      <c r="H126" s="609"/>
      <c r="I126" s="277">
        <f t="shared" si="19"/>
        <v>-68001.901000000071</v>
      </c>
      <c r="J126" s="266">
        <f t="shared" si="20"/>
        <v>-2.1990897270664823E-2</v>
      </c>
      <c r="K126" s="740"/>
      <c r="L126" s="268">
        <f t="shared" si="15"/>
        <v>22394.370000000112</v>
      </c>
      <c r="M126" s="269">
        <f t="shared" si="16"/>
        <v>7.4601182501482467E-3</v>
      </c>
      <c r="N126" s="740"/>
    </row>
    <row r="127" spans="1:14" s="451" customFormat="1" ht="213.75" customHeight="1" x14ac:dyDescent="0.2">
      <c r="A127" s="447">
        <v>23443</v>
      </c>
      <c r="B127" s="453" t="s">
        <v>288</v>
      </c>
      <c r="C127" s="294">
        <v>17978.37</v>
      </c>
      <c r="D127" s="267">
        <v>18517.721099999999</v>
      </c>
      <c r="E127" s="294">
        <v>17978.37</v>
      </c>
      <c r="F127" s="294">
        <v>18517.721099999999</v>
      </c>
      <c r="G127" s="294">
        <v>27324</v>
      </c>
      <c r="H127" s="609"/>
      <c r="I127" s="277">
        <f t="shared" si="19"/>
        <v>8806.2789000000012</v>
      </c>
      <c r="J127" s="266">
        <f t="shared" si="20"/>
        <v>0.47555953847906274</v>
      </c>
      <c r="K127" s="733" t="s">
        <v>769</v>
      </c>
      <c r="L127" s="268">
        <f t="shared" si="15"/>
        <v>9345.630000000001</v>
      </c>
      <c r="M127" s="269">
        <f t="shared" si="16"/>
        <v>0.51982632463343459</v>
      </c>
      <c r="N127" s="734" t="s">
        <v>933</v>
      </c>
    </row>
    <row r="128" spans="1:14" s="439" customFormat="1" ht="128.25" customHeight="1" x14ac:dyDescent="0.2">
      <c r="A128" s="450">
        <v>2350</v>
      </c>
      <c r="B128" s="452" t="s">
        <v>434</v>
      </c>
      <c r="C128" s="292">
        <v>7152.33</v>
      </c>
      <c r="D128" s="293">
        <v>7152.33</v>
      </c>
      <c r="E128" s="292">
        <v>7152.33</v>
      </c>
      <c r="F128" s="292">
        <v>7152.33</v>
      </c>
      <c r="G128" s="292">
        <v>14472</v>
      </c>
      <c r="H128" s="611"/>
      <c r="I128" s="277">
        <f t="shared" si="19"/>
        <v>7319.67</v>
      </c>
      <c r="J128" s="266">
        <f t="shared" si="20"/>
        <v>1.0233965714669206</v>
      </c>
      <c r="K128" s="675" t="s">
        <v>942</v>
      </c>
      <c r="L128" s="271">
        <f t="shared" si="15"/>
        <v>7319.67</v>
      </c>
      <c r="M128" s="266">
        <f t="shared" si="16"/>
        <v>1.0233965714669206</v>
      </c>
      <c r="N128" s="675" t="s">
        <v>943</v>
      </c>
    </row>
    <row r="129" spans="1:14" s="439" customFormat="1" ht="56.25" customHeight="1" x14ac:dyDescent="0.2">
      <c r="A129" s="450">
        <v>2360</v>
      </c>
      <c r="B129" s="452" t="s">
        <v>435</v>
      </c>
      <c r="C129" s="280">
        <f t="shared" ref="C129" si="37">SUM(C130:C135)</f>
        <v>163351.03</v>
      </c>
      <c r="D129" s="279">
        <v>289561.304</v>
      </c>
      <c r="E129" s="280">
        <v>163351.03</v>
      </c>
      <c r="F129" s="280">
        <v>289561.304</v>
      </c>
      <c r="G129" s="280">
        <f t="shared" ref="G129" si="38">SUM(G130:G135)</f>
        <v>158761</v>
      </c>
      <c r="H129" s="607"/>
      <c r="I129" s="277">
        <f t="shared" si="19"/>
        <v>-130800.304</v>
      </c>
      <c r="J129" s="266">
        <f t="shared" si="20"/>
        <v>-0.45171886641317238</v>
      </c>
      <c r="K129" s="741" t="s">
        <v>948</v>
      </c>
      <c r="L129" s="277">
        <f t="shared" si="15"/>
        <v>-4590.0299999999988</v>
      </c>
      <c r="M129" s="266">
        <f t="shared" si="16"/>
        <v>-2.8099180029657597E-2</v>
      </c>
      <c r="N129" s="741" t="s">
        <v>949</v>
      </c>
    </row>
    <row r="130" spans="1:14" s="439" customFormat="1" x14ac:dyDescent="0.2">
      <c r="A130" s="447">
        <v>2361</v>
      </c>
      <c r="B130" s="453" t="s">
        <v>72</v>
      </c>
      <c r="C130" s="294">
        <v>10298.369999999999</v>
      </c>
      <c r="D130" s="267">
        <v>131920</v>
      </c>
      <c r="E130" s="294">
        <v>10298.369999999999</v>
      </c>
      <c r="F130" s="294">
        <v>131920</v>
      </c>
      <c r="G130" s="294">
        <v>15905</v>
      </c>
      <c r="H130" s="609"/>
      <c r="I130" s="277">
        <f t="shared" si="19"/>
        <v>-116015</v>
      </c>
      <c r="J130" s="266">
        <f t="shared" si="20"/>
        <v>-0.8794345057610673</v>
      </c>
      <c r="K130" s="742"/>
      <c r="L130" s="268">
        <f t="shared" si="15"/>
        <v>5606.630000000001</v>
      </c>
      <c r="M130" s="269">
        <f t="shared" si="16"/>
        <v>0.54441916536306245</v>
      </c>
      <c r="N130" s="742"/>
    </row>
    <row r="131" spans="1:14" s="439" customFormat="1" x14ac:dyDescent="0.2">
      <c r="A131" s="447">
        <v>2362</v>
      </c>
      <c r="B131" s="453" t="s">
        <v>73</v>
      </c>
      <c r="C131" s="294">
        <v>97.86</v>
      </c>
      <c r="D131" s="267">
        <v>97.859999999999985</v>
      </c>
      <c r="E131" s="294">
        <v>97.86</v>
      </c>
      <c r="F131" s="294">
        <v>97.859999999999985</v>
      </c>
      <c r="G131" s="294">
        <v>796</v>
      </c>
      <c r="H131" s="609"/>
      <c r="I131" s="277">
        <f t="shared" si="19"/>
        <v>698.14</v>
      </c>
      <c r="J131" s="266">
        <f t="shared" si="20"/>
        <v>7.134069078275088</v>
      </c>
      <c r="K131" s="742"/>
      <c r="L131" s="268">
        <f t="shared" si="15"/>
        <v>698.14</v>
      </c>
      <c r="M131" s="269">
        <f t="shared" si="16"/>
        <v>7.1340690782750871</v>
      </c>
      <c r="N131" s="742"/>
    </row>
    <row r="132" spans="1:14" s="439" customFormat="1" x14ac:dyDescent="0.2">
      <c r="A132" s="447">
        <v>2363</v>
      </c>
      <c r="B132" s="453" t="s">
        <v>74</v>
      </c>
      <c r="C132" s="294">
        <v>152954.79999999999</v>
      </c>
      <c r="D132" s="267">
        <v>157543.44399999999</v>
      </c>
      <c r="E132" s="294">
        <v>152954.79999999999</v>
      </c>
      <c r="F132" s="294">
        <v>157543.44399999999</v>
      </c>
      <c r="G132" s="294">
        <v>142060</v>
      </c>
      <c r="H132" s="609"/>
      <c r="I132" s="277">
        <f t="shared" si="19"/>
        <v>-15483.443999999989</v>
      </c>
      <c r="J132" s="266">
        <f t="shared" si="20"/>
        <v>-9.8280471766251279E-2</v>
      </c>
      <c r="K132" s="742"/>
      <c r="L132" s="268">
        <f t="shared" ref="L132:L193" si="39">G132-E132</f>
        <v>-10894.799999999988</v>
      </c>
      <c r="M132" s="269">
        <f t="shared" ref="M132:M193" si="40">IFERROR(L132/ABS(E132), "-")</f>
        <v>-7.1228885919238816E-2</v>
      </c>
      <c r="N132" s="742"/>
    </row>
    <row r="133" spans="1:14" s="439" customFormat="1" x14ac:dyDescent="0.2">
      <c r="A133" s="447">
        <v>2364</v>
      </c>
      <c r="B133" s="453" t="s">
        <v>436</v>
      </c>
      <c r="C133" s="294">
        <v>0</v>
      </c>
      <c r="D133" s="267">
        <v>0</v>
      </c>
      <c r="E133" s="294">
        <v>0</v>
      </c>
      <c r="F133" s="294">
        <v>0</v>
      </c>
      <c r="G133" s="294">
        <v>0</v>
      </c>
      <c r="H133" s="609"/>
      <c r="I133" s="277">
        <f t="shared" ref="I133:I193" si="41">G133-F133</f>
        <v>0</v>
      </c>
      <c r="J133" s="266" t="str">
        <f t="shared" ref="J133:J193" si="42">IFERROR(I133/ABS(F133), "-")</f>
        <v>-</v>
      </c>
      <c r="K133" s="742"/>
      <c r="L133" s="268">
        <f t="shared" si="39"/>
        <v>0</v>
      </c>
      <c r="M133" s="269" t="str">
        <f t="shared" si="40"/>
        <v>-</v>
      </c>
      <c r="N133" s="742"/>
    </row>
    <row r="134" spans="1:14" s="451" customFormat="1" ht="31.5" x14ac:dyDescent="0.2">
      <c r="A134" s="447">
        <v>2366</v>
      </c>
      <c r="B134" s="453" t="s">
        <v>75</v>
      </c>
      <c r="C134" s="294">
        <v>0</v>
      </c>
      <c r="D134" s="267">
        <v>0</v>
      </c>
      <c r="E134" s="294">
        <v>0</v>
      </c>
      <c r="F134" s="294">
        <v>0</v>
      </c>
      <c r="G134" s="294">
        <v>0</v>
      </c>
      <c r="H134" s="609"/>
      <c r="I134" s="277">
        <f t="shared" si="41"/>
        <v>0</v>
      </c>
      <c r="J134" s="266" t="str">
        <f t="shared" si="42"/>
        <v>-</v>
      </c>
      <c r="K134" s="742"/>
      <c r="L134" s="268">
        <f t="shared" si="39"/>
        <v>0</v>
      </c>
      <c r="M134" s="269" t="str">
        <f t="shared" si="40"/>
        <v>-</v>
      </c>
      <c r="N134" s="742"/>
    </row>
    <row r="135" spans="1:14" s="451" customFormat="1" ht="234.75" customHeight="1" x14ac:dyDescent="0.2">
      <c r="A135" s="447">
        <v>2369</v>
      </c>
      <c r="B135" s="453" t="s">
        <v>163</v>
      </c>
      <c r="C135" s="294">
        <v>0</v>
      </c>
      <c r="D135" s="267">
        <v>0</v>
      </c>
      <c r="E135" s="294">
        <v>0</v>
      </c>
      <c r="F135" s="294">
        <v>0</v>
      </c>
      <c r="G135" s="294">
        <v>0</v>
      </c>
      <c r="H135" s="609"/>
      <c r="I135" s="277">
        <f t="shared" si="41"/>
        <v>0</v>
      </c>
      <c r="J135" s="266" t="str">
        <f t="shared" si="42"/>
        <v>-</v>
      </c>
      <c r="K135" s="743"/>
      <c r="L135" s="268">
        <f t="shared" si="39"/>
        <v>0</v>
      </c>
      <c r="M135" s="269" t="str">
        <f t="shared" si="40"/>
        <v>-</v>
      </c>
      <c r="N135" s="743"/>
    </row>
    <row r="136" spans="1:14" s="439" customFormat="1" ht="19.5" customHeight="1" x14ac:dyDescent="0.2">
      <c r="A136" s="450">
        <v>2370</v>
      </c>
      <c r="B136" s="452" t="s">
        <v>76</v>
      </c>
      <c r="C136" s="292">
        <v>0</v>
      </c>
      <c r="D136" s="270">
        <v>0</v>
      </c>
      <c r="E136" s="292">
        <v>0</v>
      </c>
      <c r="F136" s="292">
        <v>0</v>
      </c>
      <c r="G136" s="292">
        <v>0</v>
      </c>
      <c r="H136" s="611"/>
      <c r="I136" s="277">
        <f t="shared" si="41"/>
        <v>0</v>
      </c>
      <c r="J136" s="266" t="str">
        <f t="shared" si="42"/>
        <v>-</v>
      </c>
      <c r="K136" s="674"/>
      <c r="L136" s="271">
        <f t="shared" si="39"/>
        <v>0</v>
      </c>
      <c r="M136" s="266" t="str">
        <f t="shared" si="40"/>
        <v>-</v>
      </c>
      <c r="N136" s="674"/>
    </row>
    <row r="137" spans="1:14" s="439" customFormat="1" ht="42.75" customHeight="1" x14ac:dyDescent="0.2">
      <c r="A137" s="450">
        <v>2380</v>
      </c>
      <c r="B137" s="452" t="s">
        <v>77</v>
      </c>
      <c r="C137" s="292">
        <v>0</v>
      </c>
      <c r="D137" s="293">
        <v>0</v>
      </c>
      <c r="E137" s="292">
        <v>0</v>
      </c>
      <c r="F137" s="292">
        <v>0</v>
      </c>
      <c r="G137" s="292">
        <v>0</v>
      </c>
      <c r="H137" s="611"/>
      <c r="I137" s="277">
        <f t="shared" si="41"/>
        <v>0</v>
      </c>
      <c r="J137" s="266" t="str">
        <f t="shared" si="42"/>
        <v>-</v>
      </c>
      <c r="K137" s="674"/>
      <c r="L137" s="271">
        <f t="shared" si="39"/>
        <v>0</v>
      </c>
      <c r="M137" s="266" t="str">
        <f t="shared" si="40"/>
        <v>-</v>
      </c>
      <c r="N137" s="674"/>
    </row>
    <row r="138" spans="1:14" x14ac:dyDescent="0.2">
      <c r="A138" s="437">
        <v>2390</v>
      </c>
      <c r="B138" s="452" t="s">
        <v>78</v>
      </c>
      <c r="C138" s="292">
        <v>0</v>
      </c>
      <c r="D138" s="270">
        <v>0</v>
      </c>
      <c r="E138" s="292">
        <v>0</v>
      </c>
      <c r="F138" s="292">
        <v>0</v>
      </c>
      <c r="G138" s="292">
        <v>0</v>
      </c>
      <c r="H138" s="611"/>
      <c r="I138" s="277">
        <f t="shared" si="41"/>
        <v>0</v>
      </c>
      <c r="J138" s="266" t="str">
        <f t="shared" si="42"/>
        <v>-</v>
      </c>
      <c r="K138" s="686"/>
      <c r="L138" s="271">
        <f t="shared" si="39"/>
        <v>0</v>
      </c>
      <c r="M138" s="266" t="str">
        <f t="shared" si="40"/>
        <v>-</v>
      </c>
      <c r="N138" s="686"/>
    </row>
    <row r="139" spans="1:14" ht="37.5" customHeight="1" x14ac:dyDescent="0.2">
      <c r="A139" s="437">
        <v>2500</v>
      </c>
      <c r="B139" s="452" t="s">
        <v>437</v>
      </c>
      <c r="C139" s="280">
        <f t="shared" ref="C139" si="43">SUM(C140+C148)</f>
        <v>849174.53999999992</v>
      </c>
      <c r="D139" s="279">
        <v>874097.09669999999</v>
      </c>
      <c r="E139" s="280">
        <v>849174.53999999992</v>
      </c>
      <c r="F139" s="280">
        <v>874097.09669999999</v>
      </c>
      <c r="G139" s="280">
        <f t="shared" ref="G139" si="44">SUM(G140+G148)</f>
        <v>1037041.29</v>
      </c>
      <c r="H139" s="607"/>
      <c r="I139" s="277">
        <f t="shared" si="41"/>
        <v>162944.19330000004</v>
      </c>
      <c r="J139" s="266">
        <f t="shared" si="42"/>
        <v>0.1864142941501204</v>
      </c>
      <c r="K139" s="671"/>
      <c r="L139" s="277">
        <f t="shared" si="39"/>
        <v>187866.75000000012</v>
      </c>
      <c r="M139" s="266">
        <f t="shared" si="40"/>
        <v>0.22123455326392633</v>
      </c>
      <c r="N139" s="671"/>
    </row>
    <row r="140" spans="1:14" ht="19.5" customHeight="1" x14ac:dyDescent="0.2">
      <c r="A140" s="437">
        <v>2510</v>
      </c>
      <c r="B140" s="452" t="s">
        <v>438</v>
      </c>
      <c r="C140" s="280">
        <f t="shared" ref="C140" si="45">SUM(C141:C147)</f>
        <v>849174.53999999992</v>
      </c>
      <c r="D140" s="279">
        <v>874097.09669999999</v>
      </c>
      <c r="E140" s="280">
        <v>849174.53999999992</v>
      </c>
      <c r="F140" s="280">
        <v>874097.09669999999</v>
      </c>
      <c r="G140" s="280">
        <f t="shared" ref="G140" si="46">SUM(G141:G147)</f>
        <v>1037041.29</v>
      </c>
      <c r="H140" s="607"/>
      <c r="I140" s="277">
        <f t="shared" si="41"/>
        <v>162944.19330000004</v>
      </c>
      <c r="J140" s="266">
        <f t="shared" si="42"/>
        <v>0.1864142941501204</v>
      </c>
      <c r="K140" s="741" t="s">
        <v>808</v>
      </c>
      <c r="L140" s="277">
        <f t="shared" si="39"/>
        <v>187866.75000000012</v>
      </c>
      <c r="M140" s="266">
        <f t="shared" si="40"/>
        <v>0.22123455326392633</v>
      </c>
      <c r="N140" s="741" t="s">
        <v>921</v>
      </c>
    </row>
    <row r="141" spans="1:14" ht="55.5" customHeight="1" x14ac:dyDescent="0.2">
      <c r="A141" s="447">
        <v>2512</v>
      </c>
      <c r="B141" s="453" t="s">
        <v>79</v>
      </c>
      <c r="C141" s="294">
        <v>827154.37</v>
      </c>
      <c r="D141" s="267">
        <v>851776.92670000007</v>
      </c>
      <c r="E141" s="294">
        <v>827154.37</v>
      </c>
      <c r="F141" s="294">
        <v>851776.92670000007</v>
      </c>
      <c r="G141" s="294">
        <f>1012096+36.29</f>
        <v>1012132.29</v>
      </c>
      <c r="H141" s="609"/>
      <c r="I141" s="277">
        <f t="shared" si="41"/>
        <v>160355.36329999997</v>
      </c>
      <c r="J141" s="266">
        <f t="shared" si="42"/>
        <v>0.18825981107665987</v>
      </c>
      <c r="K141" s="742"/>
      <c r="L141" s="268">
        <f t="shared" si="39"/>
        <v>184977.92000000004</v>
      </c>
      <c r="M141" s="269">
        <f t="shared" si="40"/>
        <v>0.2236316783286777</v>
      </c>
      <c r="N141" s="742"/>
    </row>
    <row r="142" spans="1:14" ht="55.5" customHeight="1" x14ac:dyDescent="0.2">
      <c r="A142" s="447">
        <v>2513</v>
      </c>
      <c r="B142" s="453" t="s">
        <v>439</v>
      </c>
      <c r="C142" s="294">
        <f>8961.89+2644.1</f>
        <v>11605.99</v>
      </c>
      <c r="D142" s="267">
        <v>11605.99</v>
      </c>
      <c r="E142" s="294">
        <v>11605.99</v>
      </c>
      <c r="F142" s="294">
        <v>11605.99</v>
      </c>
      <c r="G142" s="294">
        <v>11606</v>
      </c>
      <c r="H142" s="609"/>
      <c r="I142" s="277">
        <f t="shared" si="41"/>
        <v>1.0000000000218279E-2</v>
      </c>
      <c r="J142" s="266">
        <f t="shared" si="42"/>
        <v>8.6162404070814114E-7</v>
      </c>
      <c r="K142" s="742"/>
      <c r="L142" s="268">
        <f t="shared" si="39"/>
        <v>1.0000000000218279E-2</v>
      </c>
      <c r="M142" s="269">
        <f t="shared" si="40"/>
        <v>8.6162404070814114E-7</v>
      </c>
      <c r="N142" s="742"/>
    </row>
    <row r="143" spans="1:14" ht="55.5" customHeight="1" x14ac:dyDescent="0.2">
      <c r="A143" s="447">
        <v>2514</v>
      </c>
      <c r="B143" s="453" t="s">
        <v>80</v>
      </c>
      <c r="C143" s="294">
        <v>0</v>
      </c>
      <c r="D143" s="267">
        <v>0</v>
      </c>
      <c r="E143" s="294">
        <v>0</v>
      </c>
      <c r="F143" s="294">
        <v>0</v>
      </c>
      <c r="G143" s="294"/>
      <c r="H143" s="609"/>
      <c r="I143" s="277">
        <f t="shared" si="41"/>
        <v>0</v>
      </c>
      <c r="J143" s="266" t="str">
        <f t="shared" si="42"/>
        <v>-</v>
      </c>
      <c r="K143" s="742"/>
      <c r="L143" s="268">
        <f t="shared" si="39"/>
        <v>0</v>
      </c>
      <c r="M143" s="269" t="str">
        <f t="shared" si="40"/>
        <v>-</v>
      </c>
      <c r="N143" s="742"/>
    </row>
    <row r="144" spans="1:14" x14ac:dyDescent="0.2">
      <c r="A144" s="447">
        <v>2515</v>
      </c>
      <c r="B144" s="453" t="s">
        <v>81</v>
      </c>
      <c r="C144" s="294">
        <v>7482.34</v>
      </c>
      <c r="D144" s="267">
        <v>7782.34</v>
      </c>
      <c r="E144" s="294">
        <v>7482.34</v>
      </c>
      <c r="F144" s="294">
        <v>7782.34</v>
      </c>
      <c r="G144" s="294">
        <v>10565</v>
      </c>
      <c r="H144" s="609"/>
      <c r="I144" s="277">
        <f t="shared" si="41"/>
        <v>2782.66</v>
      </c>
      <c r="J144" s="266">
        <f t="shared" si="42"/>
        <v>0.35756083645792908</v>
      </c>
      <c r="K144" s="742"/>
      <c r="L144" s="268">
        <f t="shared" si="39"/>
        <v>3082.66</v>
      </c>
      <c r="M144" s="269">
        <f t="shared" si="40"/>
        <v>0.41199143583424436</v>
      </c>
      <c r="N144" s="742"/>
    </row>
    <row r="145" spans="1:14" ht="47.25" x14ac:dyDescent="0.2">
      <c r="A145" s="447">
        <v>2516</v>
      </c>
      <c r="B145" s="453" t="s">
        <v>164</v>
      </c>
      <c r="C145" s="294">
        <v>0</v>
      </c>
      <c r="D145" s="267">
        <v>0</v>
      </c>
      <c r="E145" s="294">
        <v>0</v>
      </c>
      <c r="F145" s="294">
        <v>0</v>
      </c>
      <c r="G145" s="294"/>
      <c r="H145" s="609"/>
      <c r="I145" s="277">
        <f t="shared" si="41"/>
        <v>0</v>
      </c>
      <c r="J145" s="266" t="str">
        <f t="shared" si="42"/>
        <v>-</v>
      </c>
      <c r="K145" s="742"/>
      <c r="L145" s="268">
        <f t="shared" si="39"/>
        <v>0</v>
      </c>
      <c r="M145" s="269" t="str">
        <f t="shared" si="40"/>
        <v>-</v>
      </c>
      <c r="N145" s="742"/>
    </row>
    <row r="146" spans="1:14" ht="18.75" customHeight="1" x14ac:dyDescent="0.2">
      <c r="A146" s="433">
        <v>2518</v>
      </c>
      <c r="B146" s="455" t="s">
        <v>82</v>
      </c>
      <c r="C146" s="321">
        <v>2931.84</v>
      </c>
      <c r="D146" s="267">
        <v>2931.84</v>
      </c>
      <c r="E146" s="321">
        <v>2931.84</v>
      </c>
      <c r="F146" s="294">
        <v>2931.84</v>
      </c>
      <c r="G146" s="321">
        <v>2738</v>
      </c>
      <c r="H146" s="610"/>
      <c r="I146" s="277">
        <f t="shared" si="41"/>
        <v>-193.84000000000015</v>
      </c>
      <c r="J146" s="266">
        <f t="shared" si="42"/>
        <v>-6.6115476970093914E-2</v>
      </c>
      <c r="K146" s="742"/>
      <c r="L146" s="268">
        <f t="shared" si="39"/>
        <v>-193.84000000000015</v>
      </c>
      <c r="M146" s="269">
        <f t="shared" si="40"/>
        <v>-6.6115476970093914E-2</v>
      </c>
      <c r="N146" s="742"/>
    </row>
    <row r="147" spans="1:14" s="439" customFormat="1" ht="274.5" customHeight="1" x14ac:dyDescent="0.2">
      <c r="A147" s="447">
        <v>2519</v>
      </c>
      <c r="B147" s="453" t="s">
        <v>83</v>
      </c>
      <c r="C147" s="294">
        <v>0</v>
      </c>
      <c r="D147" s="267">
        <v>0</v>
      </c>
      <c r="E147" s="294">
        <v>0</v>
      </c>
      <c r="F147" s="294">
        <v>0</v>
      </c>
      <c r="G147" s="294">
        <v>0</v>
      </c>
      <c r="H147" s="609"/>
      <c r="I147" s="277">
        <f t="shared" si="41"/>
        <v>0</v>
      </c>
      <c r="J147" s="266" t="str">
        <f t="shared" si="42"/>
        <v>-</v>
      </c>
      <c r="K147" s="743"/>
      <c r="L147" s="268">
        <f t="shared" si="39"/>
        <v>0</v>
      </c>
      <c r="M147" s="269" t="str">
        <f t="shared" si="40"/>
        <v>-</v>
      </c>
      <c r="N147" s="743"/>
    </row>
    <row r="148" spans="1:14" ht="56.25" customHeight="1" x14ac:dyDescent="0.2">
      <c r="A148" s="446">
        <v>2520</v>
      </c>
      <c r="B148" s="457" t="s">
        <v>440</v>
      </c>
      <c r="C148" s="322">
        <v>0</v>
      </c>
      <c r="D148" s="272">
        <v>0</v>
      </c>
      <c r="E148" s="322">
        <v>0</v>
      </c>
      <c r="F148" s="322">
        <v>0</v>
      </c>
      <c r="G148" s="322">
        <v>0</v>
      </c>
      <c r="H148" s="612"/>
      <c r="I148" s="277">
        <f t="shared" si="41"/>
        <v>0</v>
      </c>
      <c r="J148" s="266" t="str">
        <f t="shared" si="42"/>
        <v>-</v>
      </c>
      <c r="K148" s="687"/>
      <c r="L148" s="273">
        <f t="shared" si="39"/>
        <v>0</v>
      </c>
      <c r="M148" s="274" t="str">
        <f t="shared" si="40"/>
        <v>-</v>
      </c>
      <c r="N148" s="674"/>
    </row>
    <row r="149" spans="1:14" ht="75" customHeight="1" x14ac:dyDescent="0.2">
      <c r="A149" s="446">
        <v>2800</v>
      </c>
      <c r="B149" s="458" t="s">
        <v>84</v>
      </c>
      <c r="C149" s="325">
        <v>0</v>
      </c>
      <c r="D149" s="272">
        <v>0</v>
      </c>
      <c r="E149" s="325">
        <v>0</v>
      </c>
      <c r="F149" s="322">
        <v>0</v>
      </c>
      <c r="G149" s="325">
        <v>0</v>
      </c>
      <c r="H149" s="617"/>
      <c r="I149" s="277">
        <f t="shared" si="41"/>
        <v>0</v>
      </c>
      <c r="J149" s="266" t="str">
        <f t="shared" si="42"/>
        <v>-</v>
      </c>
      <c r="K149" s="687"/>
      <c r="L149" s="273">
        <f t="shared" si="39"/>
        <v>0</v>
      </c>
      <c r="M149" s="274" t="str">
        <f t="shared" si="40"/>
        <v>-</v>
      </c>
      <c r="N149" s="674"/>
    </row>
    <row r="150" spans="1:14" ht="19.5" customHeight="1" x14ac:dyDescent="0.2">
      <c r="A150" s="437">
        <v>4000</v>
      </c>
      <c r="B150" s="459" t="s">
        <v>85</v>
      </c>
      <c r="C150" s="280">
        <v>0</v>
      </c>
      <c r="D150" s="276">
        <v>0</v>
      </c>
      <c r="E150" s="280">
        <v>0</v>
      </c>
      <c r="F150" s="280">
        <v>0</v>
      </c>
      <c r="G150" s="280">
        <v>0</v>
      </c>
      <c r="H150" s="607"/>
      <c r="I150" s="277">
        <f t="shared" si="41"/>
        <v>0</v>
      </c>
      <c r="J150" s="266" t="str">
        <f t="shared" si="42"/>
        <v>-</v>
      </c>
      <c r="K150" s="671"/>
      <c r="L150" s="277">
        <f t="shared" si="39"/>
        <v>0</v>
      </c>
      <c r="M150" s="266" t="str">
        <f t="shared" si="40"/>
        <v>-</v>
      </c>
      <c r="N150" s="671"/>
    </row>
    <row r="151" spans="1:14" ht="56.25" customHeight="1" x14ac:dyDescent="0.2">
      <c r="A151" s="460">
        <v>4100</v>
      </c>
      <c r="B151" s="452" t="s">
        <v>86</v>
      </c>
      <c r="C151" s="280">
        <v>0</v>
      </c>
      <c r="D151" s="279">
        <v>0</v>
      </c>
      <c r="E151" s="280">
        <v>0</v>
      </c>
      <c r="F151" s="280">
        <v>0</v>
      </c>
      <c r="G151" s="280">
        <v>0</v>
      </c>
      <c r="H151" s="607"/>
      <c r="I151" s="277">
        <f t="shared" si="41"/>
        <v>0</v>
      </c>
      <c r="J151" s="266" t="str">
        <f t="shared" si="42"/>
        <v>-</v>
      </c>
      <c r="K151" s="746"/>
      <c r="L151" s="277">
        <f t="shared" si="39"/>
        <v>0</v>
      </c>
      <c r="M151" s="266" t="str">
        <f t="shared" si="40"/>
        <v>-</v>
      </c>
      <c r="N151" s="746"/>
    </row>
    <row r="152" spans="1:14" ht="56.25" customHeight="1" x14ac:dyDescent="0.2">
      <c r="A152" s="461">
        <v>4110</v>
      </c>
      <c r="B152" s="453" t="s">
        <v>352</v>
      </c>
      <c r="C152" s="294">
        <v>0</v>
      </c>
      <c r="D152" s="267">
        <v>0</v>
      </c>
      <c r="E152" s="294">
        <v>0</v>
      </c>
      <c r="F152" s="294">
        <v>0</v>
      </c>
      <c r="G152" s="294">
        <v>0</v>
      </c>
      <c r="H152" s="609"/>
      <c r="I152" s="277">
        <f t="shared" si="41"/>
        <v>0</v>
      </c>
      <c r="J152" s="266" t="str">
        <f t="shared" si="42"/>
        <v>-</v>
      </c>
      <c r="K152" s="747"/>
      <c r="L152" s="268">
        <f t="shared" si="39"/>
        <v>0</v>
      </c>
      <c r="M152" s="269" t="str">
        <f t="shared" si="40"/>
        <v>-</v>
      </c>
      <c r="N152" s="747"/>
    </row>
    <row r="153" spans="1:14" ht="75" customHeight="1" x14ac:dyDescent="0.2">
      <c r="A153" s="461">
        <v>4130</v>
      </c>
      <c r="B153" s="453" t="s">
        <v>87</v>
      </c>
      <c r="C153" s="294">
        <v>0</v>
      </c>
      <c r="D153" s="267">
        <v>0</v>
      </c>
      <c r="E153" s="294">
        <v>0</v>
      </c>
      <c r="F153" s="294">
        <v>0</v>
      </c>
      <c r="G153" s="294">
        <v>0</v>
      </c>
      <c r="H153" s="609"/>
      <c r="I153" s="277">
        <f t="shared" si="41"/>
        <v>0</v>
      </c>
      <c r="J153" s="266" t="str">
        <f t="shared" si="42"/>
        <v>-</v>
      </c>
      <c r="K153" s="748"/>
      <c r="L153" s="268">
        <f t="shared" si="39"/>
        <v>0</v>
      </c>
      <c r="M153" s="269" t="str">
        <f t="shared" si="40"/>
        <v>-</v>
      </c>
      <c r="N153" s="748"/>
    </row>
    <row r="154" spans="1:14" ht="19.5" customHeight="1" x14ac:dyDescent="0.2">
      <c r="A154" s="460">
        <v>4200</v>
      </c>
      <c r="B154" s="452" t="s">
        <v>88</v>
      </c>
      <c r="C154" s="280">
        <v>0</v>
      </c>
      <c r="D154" s="279">
        <v>0</v>
      </c>
      <c r="E154" s="280">
        <v>0</v>
      </c>
      <c r="F154" s="280">
        <v>0</v>
      </c>
      <c r="G154" s="280">
        <v>0</v>
      </c>
      <c r="H154" s="607"/>
      <c r="I154" s="277">
        <f t="shared" si="41"/>
        <v>0</v>
      </c>
      <c r="J154" s="266" t="str">
        <f t="shared" si="42"/>
        <v>-</v>
      </c>
      <c r="K154" s="746"/>
      <c r="L154" s="277">
        <f t="shared" si="39"/>
        <v>0</v>
      </c>
      <c r="M154" s="266" t="str">
        <f t="shared" si="40"/>
        <v>-</v>
      </c>
      <c r="N154" s="746"/>
    </row>
    <row r="155" spans="1:14" s="462" customFormat="1" ht="56.25" customHeight="1" x14ac:dyDescent="0.2">
      <c r="A155" s="461">
        <v>4230</v>
      </c>
      <c r="B155" s="453" t="s">
        <v>89</v>
      </c>
      <c r="C155" s="294">
        <v>0</v>
      </c>
      <c r="D155" s="267">
        <v>0</v>
      </c>
      <c r="E155" s="294">
        <v>0</v>
      </c>
      <c r="F155" s="294">
        <v>0</v>
      </c>
      <c r="G155" s="294">
        <v>0</v>
      </c>
      <c r="H155" s="609"/>
      <c r="I155" s="277">
        <f t="shared" si="41"/>
        <v>0</v>
      </c>
      <c r="J155" s="266" t="str">
        <f t="shared" si="42"/>
        <v>-</v>
      </c>
      <c r="K155" s="747"/>
      <c r="L155" s="268">
        <f t="shared" si="39"/>
        <v>0</v>
      </c>
      <c r="M155" s="269" t="str">
        <f t="shared" si="40"/>
        <v>-</v>
      </c>
      <c r="N155" s="747"/>
    </row>
    <row r="156" spans="1:14" ht="56.25" customHeight="1" x14ac:dyDescent="0.2">
      <c r="A156" s="461">
        <v>4240</v>
      </c>
      <c r="B156" s="463" t="s">
        <v>165</v>
      </c>
      <c r="C156" s="294">
        <v>0</v>
      </c>
      <c r="D156" s="267">
        <v>0</v>
      </c>
      <c r="E156" s="294">
        <v>0</v>
      </c>
      <c r="F156" s="294">
        <v>0</v>
      </c>
      <c r="G156" s="294">
        <v>0</v>
      </c>
      <c r="H156" s="609"/>
      <c r="I156" s="277">
        <f t="shared" si="41"/>
        <v>0</v>
      </c>
      <c r="J156" s="266" t="str">
        <f t="shared" si="42"/>
        <v>-</v>
      </c>
      <c r="K156" s="747"/>
      <c r="L156" s="268">
        <f t="shared" si="39"/>
        <v>0</v>
      </c>
      <c r="M156" s="269" t="str">
        <f t="shared" si="40"/>
        <v>-</v>
      </c>
      <c r="N156" s="747"/>
    </row>
    <row r="157" spans="1:14" ht="19.5" customHeight="1" x14ac:dyDescent="0.2">
      <c r="A157" s="461">
        <v>4250</v>
      </c>
      <c r="B157" s="463" t="s">
        <v>166</v>
      </c>
      <c r="C157" s="294">
        <v>0</v>
      </c>
      <c r="D157" s="267">
        <v>0</v>
      </c>
      <c r="E157" s="294">
        <v>0</v>
      </c>
      <c r="F157" s="294">
        <v>0</v>
      </c>
      <c r="G157" s="294">
        <v>0</v>
      </c>
      <c r="H157" s="609"/>
      <c r="I157" s="277">
        <f t="shared" si="41"/>
        <v>0</v>
      </c>
      <c r="J157" s="266" t="str">
        <f t="shared" si="42"/>
        <v>-</v>
      </c>
      <c r="K157" s="748"/>
      <c r="L157" s="268">
        <f t="shared" si="39"/>
        <v>0</v>
      </c>
      <c r="M157" s="269" t="str">
        <f t="shared" si="40"/>
        <v>-</v>
      </c>
      <c r="N157" s="748"/>
    </row>
    <row r="158" spans="1:14" ht="19.5" customHeight="1" x14ac:dyDescent="0.2">
      <c r="A158" s="437">
        <v>4300</v>
      </c>
      <c r="B158" s="452" t="s">
        <v>90</v>
      </c>
      <c r="C158" s="280">
        <v>0</v>
      </c>
      <c r="D158" s="279">
        <v>0</v>
      </c>
      <c r="E158" s="280">
        <v>0</v>
      </c>
      <c r="F158" s="280">
        <v>0</v>
      </c>
      <c r="G158" s="280">
        <v>0</v>
      </c>
      <c r="H158" s="607"/>
      <c r="I158" s="277">
        <f t="shared" si="41"/>
        <v>0</v>
      </c>
      <c r="J158" s="266" t="str">
        <f t="shared" si="42"/>
        <v>-</v>
      </c>
      <c r="K158" s="746"/>
      <c r="L158" s="277">
        <f t="shared" si="39"/>
        <v>0</v>
      </c>
      <c r="M158" s="266" t="str">
        <f t="shared" si="40"/>
        <v>-</v>
      </c>
      <c r="N158" s="746"/>
    </row>
    <row r="159" spans="1:14" ht="19.5" customHeight="1" x14ac:dyDescent="0.2">
      <c r="A159" s="447">
        <v>4310</v>
      </c>
      <c r="B159" s="453" t="s">
        <v>91</v>
      </c>
      <c r="C159" s="294">
        <v>0</v>
      </c>
      <c r="D159" s="267">
        <v>0</v>
      </c>
      <c r="E159" s="294">
        <v>0</v>
      </c>
      <c r="F159" s="294">
        <v>0</v>
      </c>
      <c r="G159" s="294">
        <v>0</v>
      </c>
      <c r="H159" s="609"/>
      <c r="I159" s="277">
        <f t="shared" si="41"/>
        <v>0</v>
      </c>
      <c r="J159" s="266" t="str">
        <f t="shared" si="42"/>
        <v>-</v>
      </c>
      <c r="K159" s="747"/>
      <c r="L159" s="268">
        <f t="shared" si="39"/>
        <v>0</v>
      </c>
      <c r="M159" s="269" t="str">
        <f t="shared" si="40"/>
        <v>-</v>
      </c>
      <c r="N159" s="747"/>
    </row>
    <row r="160" spans="1:14" ht="37.5" customHeight="1" x14ac:dyDescent="0.2">
      <c r="A160" s="447">
        <v>4330</v>
      </c>
      <c r="B160" s="453" t="s">
        <v>441</v>
      </c>
      <c r="C160" s="294">
        <v>0</v>
      </c>
      <c r="D160" s="267">
        <v>0</v>
      </c>
      <c r="E160" s="294">
        <v>0</v>
      </c>
      <c r="F160" s="294">
        <v>0</v>
      </c>
      <c r="G160" s="294">
        <v>0</v>
      </c>
      <c r="H160" s="609"/>
      <c r="I160" s="277">
        <f t="shared" si="41"/>
        <v>0</v>
      </c>
      <c r="J160" s="266" t="str">
        <f t="shared" si="42"/>
        <v>-</v>
      </c>
      <c r="K160" s="747"/>
      <c r="L160" s="268">
        <f t="shared" si="39"/>
        <v>0</v>
      </c>
      <c r="M160" s="269" t="str">
        <f t="shared" si="40"/>
        <v>-</v>
      </c>
      <c r="N160" s="747"/>
    </row>
    <row r="161" spans="1:14" ht="56.25" customHeight="1" x14ac:dyDescent="0.2">
      <c r="A161" s="433">
        <v>4340</v>
      </c>
      <c r="B161" s="455" t="s">
        <v>167</v>
      </c>
      <c r="C161" s="321">
        <v>0</v>
      </c>
      <c r="D161" s="267">
        <v>0</v>
      </c>
      <c r="E161" s="321">
        <v>0</v>
      </c>
      <c r="F161" s="294">
        <v>0</v>
      </c>
      <c r="G161" s="321">
        <v>0</v>
      </c>
      <c r="H161" s="610"/>
      <c r="I161" s="277">
        <f t="shared" si="41"/>
        <v>0</v>
      </c>
      <c r="J161" s="266" t="str">
        <f t="shared" si="42"/>
        <v>-</v>
      </c>
      <c r="K161" s="747"/>
      <c r="L161" s="268">
        <f t="shared" si="39"/>
        <v>0</v>
      </c>
      <c r="M161" s="269" t="str">
        <f t="shared" si="40"/>
        <v>-</v>
      </c>
      <c r="N161" s="747"/>
    </row>
    <row r="162" spans="1:14" ht="37.5" customHeight="1" x14ac:dyDescent="0.2">
      <c r="A162" s="433">
        <v>4390</v>
      </c>
      <c r="B162" s="455" t="s">
        <v>442</v>
      </c>
      <c r="C162" s="321">
        <v>0</v>
      </c>
      <c r="D162" s="267">
        <v>0</v>
      </c>
      <c r="E162" s="321">
        <v>0</v>
      </c>
      <c r="F162" s="294">
        <v>0</v>
      </c>
      <c r="G162" s="321">
        <v>0</v>
      </c>
      <c r="H162" s="610"/>
      <c r="I162" s="277">
        <f t="shared" si="41"/>
        <v>0</v>
      </c>
      <c r="J162" s="266" t="str">
        <f t="shared" si="42"/>
        <v>-</v>
      </c>
      <c r="K162" s="748"/>
      <c r="L162" s="268">
        <f t="shared" si="39"/>
        <v>0</v>
      </c>
      <c r="M162" s="269" t="str">
        <f t="shared" si="40"/>
        <v>-</v>
      </c>
      <c r="N162" s="748"/>
    </row>
    <row r="163" spans="1:14" ht="19.5" customHeight="1" x14ac:dyDescent="0.2">
      <c r="A163" s="437" t="s">
        <v>92</v>
      </c>
      <c r="B163" s="464" t="s">
        <v>93</v>
      </c>
      <c r="C163" s="280">
        <f>C34</f>
        <v>18214043.16</v>
      </c>
      <c r="D163" s="276">
        <v>21444158.740300003</v>
      </c>
      <c r="E163" s="280">
        <v>18214043.159999996</v>
      </c>
      <c r="F163" s="280">
        <v>21444158.740300003</v>
      </c>
      <c r="G163" s="280">
        <f>G34</f>
        <v>22097915.859999999</v>
      </c>
      <c r="H163" s="607"/>
      <c r="I163" s="277">
        <f t="shared" si="41"/>
        <v>653757.11969999596</v>
      </c>
      <c r="J163" s="266">
        <f t="shared" si="42"/>
        <v>3.0486489473303065E-2</v>
      </c>
      <c r="K163" s="671"/>
      <c r="L163" s="277">
        <f t="shared" si="39"/>
        <v>3883872.700000003</v>
      </c>
      <c r="M163" s="266">
        <f t="shared" si="40"/>
        <v>0.21323506625532801</v>
      </c>
      <c r="N163" s="671"/>
    </row>
    <row r="164" spans="1:14" ht="56.25" customHeight="1" x14ac:dyDescent="0.2">
      <c r="A164" s="437" t="s">
        <v>94</v>
      </c>
      <c r="B164" s="464" t="s">
        <v>349</v>
      </c>
      <c r="C164" s="280">
        <f>C3-C163</f>
        <v>1359080.6099999957</v>
      </c>
      <c r="D164" s="276">
        <v>1270950.3171999976</v>
      </c>
      <c r="E164" s="280">
        <v>1359080.6099999994</v>
      </c>
      <c r="F164" s="280">
        <v>1270950.3171999976</v>
      </c>
      <c r="G164" s="280">
        <f>G3-G163</f>
        <v>343354.15000000224</v>
      </c>
      <c r="H164" s="607"/>
      <c r="I164" s="277">
        <f t="shared" si="41"/>
        <v>-927596.16719999537</v>
      </c>
      <c r="J164" s="266">
        <f t="shared" si="42"/>
        <v>-0.72984455383241253</v>
      </c>
      <c r="K164" s="671"/>
      <c r="L164" s="277">
        <f t="shared" si="39"/>
        <v>-1015726.4599999972</v>
      </c>
      <c r="M164" s="266">
        <f t="shared" si="40"/>
        <v>-0.74736292499971557</v>
      </c>
      <c r="N164" s="671"/>
    </row>
    <row r="165" spans="1:14" ht="19.5" customHeight="1" x14ac:dyDescent="0.2">
      <c r="A165" s="465">
        <v>5000</v>
      </c>
      <c r="B165" s="466" t="s">
        <v>95</v>
      </c>
      <c r="C165" s="326">
        <f t="shared" ref="C165" si="47">C166+C167</f>
        <v>720108.91000000015</v>
      </c>
      <c r="D165" s="467">
        <v>720108.91000000015</v>
      </c>
      <c r="E165" s="326">
        <v>720108.91000000015</v>
      </c>
      <c r="F165" s="326">
        <v>720108.91000000015</v>
      </c>
      <c r="G165" s="326">
        <f t="shared" ref="G165" si="48">G166+G167</f>
        <v>801339</v>
      </c>
      <c r="H165" s="618"/>
      <c r="I165" s="277">
        <f t="shared" si="41"/>
        <v>81230.089999999851</v>
      </c>
      <c r="J165" s="266">
        <f t="shared" si="42"/>
        <v>0.11280250649863481</v>
      </c>
      <c r="K165" s="671"/>
      <c r="L165" s="277">
        <f t="shared" si="39"/>
        <v>81230.089999999851</v>
      </c>
      <c r="M165" s="266">
        <f t="shared" si="40"/>
        <v>0.11280250649863481</v>
      </c>
      <c r="N165" s="671"/>
    </row>
    <row r="166" spans="1:14" ht="115.5" customHeight="1" x14ac:dyDescent="0.2">
      <c r="A166" s="468">
        <v>5100</v>
      </c>
      <c r="B166" s="469" t="s">
        <v>443</v>
      </c>
      <c r="C166" s="294">
        <v>24784.909999999996</v>
      </c>
      <c r="D166" s="267">
        <v>24784.909999999996</v>
      </c>
      <c r="E166" s="294">
        <v>24784.909999999996</v>
      </c>
      <c r="F166" s="294">
        <v>24784.909999999996</v>
      </c>
      <c r="G166" s="294">
        <v>27456</v>
      </c>
      <c r="H166" s="609"/>
      <c r="I166" s="277">
        <f t="shared" si="41"/>
        <v>2671.0900000000038</v>
      </c>
      <c r="J166" s="266">
        <f t="shared" si="42"/>
        <v>0.10777081700115128</v>
      </c>
      <c r="K166" s="730" t="s">
        <v>925</v>
      </c>
      <c r="L166" s="268">
        <f t="shared" si="39"/>
        <v>2671.0900000000038</v>
      </c>
      <c r="M166" s="269">
        <f t="shared" si="40"/>
        <v>0.10777081700115128</v>
      </c>
      <c r="N166" s="731" t="s">
        <v>858</v>
      </c>
    </row>
    <row r="167" spans="1:14" ht="19.5" customHeight="1" x14ac:dyDescent="0.2">
      <c r="A167" s="470">
        <v>5200</v>
      </c>
      <c r="B167" s="459" t="s">
        <v>96</v>
      </c>
      <c r="C167" s="280">
        <v>695324.00000000012</v>
      </c>
      <c r="D167" s="276">
        <v>695324.00000000012</v>
      </c>
      <c r="E167" s="280">
        <v>695324.00000000012</v>
      </c>
      <c r="F167" s="280">
        <v>695324.00000000012</v>
      </c>
      <c r="G167" s="280">
        <v>773883</v>
      </c>
      <c r="H167" s="607"/>
      <c r="I167" s="277">
        <f t="shared" si="41"/>
        <v>78558.999999999884</v>
      </c>
      <c r="J167" s="266">
        <f t="shared" si="42"/>
        <v>0.11298186169325361</v>
      </c>
      <c r="K167" s="741" t="s">
        <v>919</v>
      </c>
      <c r="L167" s="277">
        <f t="shared" si="39"/>
        <v>78558.999999999884</v>
      </c>
      <c r="M167" s="266">
        <f t="shared" si="40"/>
        <v>0.11298186169325361</v>
      </c>
      <c r="N167" s="741" t="s">
        <v>922</v>
      </c>
    </row>
    <row r="168" spans="1:14" ht="31.5" x14ac:dyDescent="0.2">
      <c r="A168" s="471">
        <v>5210</v>
      </c>
      <c r="B168" s="472" t="s">
        <v>97</v>
      </c>
      <c r="C168" s="294">
        <v>0</v>
      </c>
      <c r="D168" s="267">
        <v>0</v>
      </c>
      <c r="E168" s="294">
        <v>0</v>
      </c>
      <c r="F168" s="294">
        <v>0</v>
      </c>
      <c r="G168" s="294">
        <v>0</v>
      </c>
      <c r="H168" s="609"/>
      <c r="I168" s="277">
        <f t="shared" si="41"/>
        <v>0</v>
      </c>
      <c r="J168" s="266" t="str">
        <f t="shared" si="42"/>
        <v>-</v>
      </c>
      <c r="K168" s="742"/>
      <c r="L168" s="268">
        <f t="shared" si="39"/>
        <v>0</v>
      </c>
      <c r="M168" s="269" t="str">
        <f t="shared" si="40"/>
        <v>-</v>
      </c>
      <c r="N168" s="744"/>
    </row>
    <row r="169" spans="1:14" ht="31.5" x14ac:dyDescent="0.2">
      <c r="A169" s="471">
        <v>5220</v>
      </c>
      <c r="B169" s="472" t="s">
        <v>98</v>
      </c>
      <c r="C169" s="294">
        <v>0</v>
      </c>
      <c r="D169" s="267">
        <v>0</v>
      </c>
      <c r="E169" s="294">
        <v>0</v>
      </c>
      <c r="F169" s="294">
        <v>0</v>
      </c>
      <c r="G169" s="294">
        <v>0</v>
      </c>
      <c r="H169" s="609"/>
      <c r="I169" s="277">
        <f t="shared" si="41"/>
        <v>0</v>
      </c>
      <c r="J169" s="266" t="str">
        <f t="shared" si="42"/>
        <v>-</v>
      </c>
      <c r="K169" s="742"/>
      <c r="L169" s="268">
        <f t="shared" si="39"/>
        <v>0</v>
      </c>
      <c r="M169" s="269" t="str">
        <f t="shared" si="40"/>
        <v>-</v>
      </c>
      <c r="N169" s="744"/>
    </row>
    <row r="170" spans="1:14" ht="58.5" customHeight="1" x14ac:dyDescent="0.2">
      <c r="A170" s="471">
        <v>5230</v>
      </c>
      <c r="B170" s="472" t="s">
        <v>99</v>
      </c>
      <c r="C170" s="294">
        <v>0</v>
      </c>
      <c r="D170" s="267">
        <v>0</v>
      </c>
      <c r="E170" s="294">
        <v>0</v>
      </c>
      <c r="F170" s="294">
        <v>0</v>
      </c>
      <c r="G170" s="294">
        <v>0</v>
      </c>
      <c r="H170" s="609"/>
      <c r="I170" s="277">
        <f t="shared" si="41"/>
        <v>0</v>
      </c>
      <c r="J170" s="266" t="str">
        <f t="shared" si="42"/>
        <v>-</v>
      </c>
      <c r="K170" s="742"/>
      <c r="L170" s="268">
        <f t="shared" si="39"/>
        <v>0</v>
      </c>
      <c r="M170" s="269" t="str">
        <f t="shared" si="40"/>
        <v>-</v>
      </c>
      <c r="N170" s="744"/>
    </row>
    <row r="171" spans="1:14" ht="94.5" customHeight="1" x14ac:dyDescent="0.2">
      <c r="A171" s="471">
        <v>5240</v>
      </c>
      <c r="B171" s="472" t="s">
        <v>354</v>
      </c>
      <c r="C171" s="294">
        <v>0</v>
      </c>
      <c r="D171" s="267">
        <v>0</v>
      </c>
      <c r="E171" s="294">
        <v>0</v>
      </c>
      <c r="F171" s="294">
        <v>0</v>
      </c>
      <c r="G171" s="294">
        <v>0</v>
      </c>
      <c r="H171" s="609"/>
      <c r="I171" s="277">
        <f t="shared" si="41"/>
        <v>0</v>
      </c>
      <c r="J171" s="266" t="str">
        <f t="shared" si="42"/>
        <v>-</v>
      </c>
      <c r="K171" s="743"/>
      <c r="L171" s="268">
        <f t="shared" si="39"/>
        <v>0</v>
      </c>
      <c r="M171" s="269" t="str">
        <f t="shared" si="40"/>
        <v>-</v>
      </c>
      <c r="N171" s="745"/>
    </row>
    <row r="172" spans="1:14" ht="102.75" customHeight="1" x14ac:dyDescent="0.2">
      <c r="A172" s="437" t="s">
        <v>100</v>
      </c>
      <c r="B172" s="464" t="s">
        <v>350</v>
      </c>
      <c r="C172" s="280">
        <f t="shared" ref="C172" si="49">C164-C165</f>
        <v>638971.69999999553</v>
      </c>
      <c r="D172" s="276">
        <v>550841.40719999745</v>
      </c>
      <c r="E172" s="280">
        <v>638971.69999999925</v>
      </c>
      <c r="F172" s="280">
        <v>550841.40719999745</v>
      </c>
      <c r="G172" s="280">
        <f t="shared" ref="G172" si="50">G164-G165</f>
        <v>-457984.84999999776</v>
      </c>
      <c r="H172" s="607"/>
      <c r="I172" s="277">
        <f t="shared" si="41"/>
        <v>-1008826.2571999952</v>
      </c>
      <c r="J172" s="266">
        <f t="shared" si="42"/>
        <v>-1.8314277830492041</v>
      </c>
      <c r="K172" s="671"/>
      <c r="L172" s="277">
        <f t="shared" si="39"/>
        <v>-1096956.549999997</v>
      </c>
      <c r="M172" s="266">
        <f t="shared" si="40"/>
        <v>-1.7167529485265127</v>
      </c>
      <c r="N172" s="671"/>
    </row>
    <row r="173" spans="1:14" ht="19.5" customHeight="1" x14ac:dyDescent="0.2">
      <c r="A173" s="96" t="s">
        <v>168</v>
      </c>
      <c r="B173" s="459" t="s">
        <v>101</v>
      </c>
      <c r="C173" s="280">
        <f t="shared" ref="C173" si="51">SUM(C174:C181)</f>
        <v>74518.5</v>
      </c>
      <c r="D173" s="276">
        <v>74519.600000000006</v>
      </c>
      <c r="E173" s="280">
        <v>74518.5</v>
      </c>
      <c r="F173" s="280">
        <v>74519.600000000006</v>
      </c>
      <c r="G173" s="280">
        <f t="shared" ref="G173" si="52">SUM(G174:G181)</f>
        <v>63241.31</v>
      </c>
      <c r="H173" s="607"/>
      <c r="I173" s="277">
        <f t="shared" si="41"/>
        <v>-11278.290000000008</v>
      </c>
      <c r="J173" s="266">
        <f t="shared" si="42"/>
        <v>-0.15134662558575204</v>
      </c>
      <c r="K173" s="741" t="s">
        <v>918</v>
      </c>
      <c r="L173" s="277">
        <f t="shared" si="39"/>
        <v>-11277.190000000002</v>
      </c>
      <c r="M173" s="266">
        <f t="shared" si="40"/>
        <v>-0.15133409824406024</v>
      </c>
      <c r="N173" s="741" t="s">
        <v>920</v>
      </c>
    </row>
    <row r="174" spans="1:14" x14ac:dyDescent="0.2">
      <c r="A174" s="473" t="s">
        <v>169</v>
      </c>
      <c r="B174" s="472" t="s">
        <v>102</v>
      </c>
      <c r="C174" s="294"/>
      <c r="D174" s="267">
        <v>1.05</v>
      </c>
      <c r="E174" s="294"/>
      <c r="F174" s="294">
        <v>1.05</v>
      </c>
      <c r="G174" s="294"/>
      <c r="H174" s="609"/>
      <c r="I174" s="277">
        <f t="shared" si="41"/>
        <v>-1.05</v>
      </c>
      <c r="J174" s="266">
        <f t="shared" si="42"/>
        <v>-1</v>
      </c>
      <c r="K174" s="742"/>
      <c r="L174" s="268">
        <f t="shared" si="39"/>
        <v>0</v>
      </c>
      <c r="M174" s="269" t="str">
        <f t="shared" si="40"/>
        <v>-</v>
      </c>
      <c r="N174" s="742"/>
    </row>
    <row r="175" spans="1:14" x14ac:dyDescent="0.2">
      <c r="A175" s="473" t="s">
        <v>170</v>
      </c>
      <c r="B175" s="472" t="s">
        <v>103</v>
      </c>
      <c r="C175" s="294">
        <v>27.3</v>
      </c>
      <c r="D175" s="267">
        <v>27.3</v>
      </c>
      <c r="E175" s="294">
        <v>27.3</v>
      </c>
      <c r="F175" s="294">
        <v>27.3</v>
      </c>
      <c r="G175" s="294">
        <v>49</v>
      </c>
      <c r="H175" s="609"/>
      <c r="I175" s="277">
        <f t="shared" si="41"/>
        <v>21.7</v>
      </c>
      <c r="J175" s="266">
        <f t="shared" si="42"/>
        <v>0.79487179487179482</v>
      </c>
      <c r="K175" s="742"/>
      <c r="L175" s="268">
        <f t="shared" si="39"/>
        <v>21.7</v>
      </c>
      <c r="M175" s="269">
        <f t="shared" si="40"/>
        <v>0.79487179487179482</v>
      </c>
      <c r="N175" s="742"/>
    </row>
    <row r="176" spans="1:14" ht="31.5" x14ac:dyDescent="0.2">
      <c r="A176" s="473" t="s">
        <v>171</v>
      </c>
      <c r="B176" s="472" t="s">
        <v>351</v>
      </c>
      <c r="C176" s="294"/>
      <c r="D176" s="267">
        <v>0</v>
      </c>
      <c r="E176" s="294"/>
      <c r="F176" s="294">
        <v>0</v>
      </c>
      <c r="G176" s="294"/>
      <c r="H176" s="609"/>
      <c r="I176" s="277">
        <f t="shared" si="41"/>
        <v>0</v>
      </c>
      <c r="J176" s="266" t="str">
        <f t="shared" si="42"/>
        <v>-</v>
      </c>
      <c r="K176" s="742"/>
      <c r="L176" s="268">
        <f t="shared" si="39"/>
        <v>0</v>
      </c>
      <c r="M176" s="269" t="str">
        <f t="shared" si="40"/>
        <v>-</v>
      </c>
      <c r="N176" s="742"/>
    </row>
    <row r="177" spans="1:14" x14ac:dyDescent="0.2">
      <c r="A177" s="473" t="s">
        <v>172</v>
      </c>
      <c r="B177" s="472" t="s">
        <v>104</v>
      </c>
      <c r="C177" s="294"/>
      <c r="D177" s="267">
        <v>0</v>
      </c>
      <c r="E177" s="294"/>
      <c r="F177" s="294">
        <v>0</v>
      </c>
      <c r="G177" s="294"/>
      <c r="H177" s="609"/>
      <c r="I177" s="277">
        <f t="shared" si="41"/>
        <v>0</v>
      </c>
      <c r="J177" s="266" t="str">
        <f t="shared" si="42"/>
        <v>-</v>
      </c>
      <c r="K177" s="742"/>
      <c r="L177" s="268">
        <f t="shared" si="39"/>
        <v>0</v>
      </c>
      <c r="M177" s="269" t="str">
        <f t="shared" si="40"/>
        <v>-</v>
      </c>
      <c r="N177" s="742"/>
    </row>
    <row r="178" spans="1:14" x14ac:dyDescent="0.2">
      <c r="A178" s="473" t="s">
        <v>173</v>
      </c>
      <c r="B178" s="472" t="s">
        <v>105</v>
      </c>
      <c r="C178" s="294"/>
      <c r="D178" s="267">
        <v>0</v>
      </c>
      <c r="E178" s="294"/>
      <c r="F178" s="294">
        <v>0</v>
      </c>
      <c r="G178" s="294"/>
      <c r="H178" s="609"/>
      <c r="I178" s="277">
        <f t="shared" si="41"/>
        <v>0</v>
      </c>
      <c r="J178" s="266" t="str">
        <f t="shared" si="42"/>
        <v>-</v>
      </c>
      <c r="K178" s="742"/>
      <c r="L178" s="268">
        <f t="shared" si="39"/>
        <v>0</v>
      </c>
      <c r="M178" s="269" t="str">
        <f t="shared" si="40"/>
        <v>-</v>
      </c>
      <c r="N178" s="742"/>
    </row>
    <row r="179" spans="1:14" ht="68.25" customHeight="1" x14ac:dyDescent="0.2">
      <c r="A179" s="473" t="s">
        <v>174</v>
      </c>
      <c r="B179" s="472" t="s">
        <v>106</v>
      </c>
      <c r="C179" s="294"/>
      <c r="D179" s="267">
        <v>58840</v>
      </c>
      <c r="E179" s="294"/>
      <c r="F179" s="294">
        <v>58840</v>
      </c>
      <c r="G179" s="294">
        <v>58839.95</v>
      </c>
      <c r="H179" s="609"/>
      <c r="I179" s="277">
        <f t="shared" si="41"/>
        <v>-5.0000000002910383E-2</v>
      </c>
      <c r="J179" s="266">
        <f t="shared" si="42"/>
        <v>-8.4976206667080873E-7</v>
      </c>
      <c r="K179" s="742"/>
      <c r="L179" s="268">
        <f t="shared" si="39"/>
        <v>58839.95</v>
      </c>
      <c r="M179" s="269" t="str">
        <f t="shared" si="40"/>
        <v>-</v>
      </c>
      <c r="N179" s="742"/>
    </row>
    <row r="180" spans="1:14" ht="45" customHeight="1" x14ac:dyDescent="0.2">
      <c r="A180" s="473" t="s">
        <v>175</v>
      </c>
      <c r="B180" s="472" t="s">
        <v>148</v>
      </c>
      <c r="C180" s="294"/>
      <c r="D180" s="267">
        <v>0</v>
      </c>
      <c r="E180" s="294"/>
      <c r="F180" s="294">
        <v>0</v>
      </c>
      <c r="G180" s="294"/>
      <c r="H180" s="609"/>
      <c r="I180" s="277">
        <f t="shared" si="41"/>
        <v>0</v>
      </c>
      <c r="J180" s="266" t="str">
        <f t="shared" si="42"/>
        <v>-</v>
      </c>
      <c r="K180" s="743"/>
      <c r="L180" s="268">
        <f t="shared" si="39"/>
        <v>0</v>
      </c>
      <c r="M180" s="269" t="str">
        <f t="shared" si="40"/>
        <v>-</v>
      </c>
      <c r="N180" s="743"/>
    </row>
    <row r="181" spans="1:14" ht="241.5" customHeight="1" x14ac:dyDescent="0.2">
      <c r="A181" s="473" t="s">
        <v>176</v>
      </c>
      <c r="B181" s="472" t="s">
        <v>107</v>
      </c>
      <c r="C181" s="294">
        <f>58839.95+13770.54+1297.75+581.96+1</f>
        <v>74491.199999999997</v>
      </c>
      <c r="D181" s="267">
        <v>15651.25</v>
      </c>
      <c r="E181" s="294">
        <v>74491.199999999997</v>
      </c>
      <c r="F181" s="294">
        <v>15651.25</v>
      </c>
      <c r="G181" s="294">
        <f>4061+291.36</f>
        <v>4352.3599999999997</v>
      </c>
      <c r="H181" s="609"/>
      <c r="I181" s="277">
        <f t="shared" si="41"/>
        <v>-11298.89</v>
      </c>
      <c r="J181" s="266">
        <f t="shared" si="42"/>
        <v>-0.72191614088331602</v>
      </c>
      <c r="K181" s="675" t="s">
        <v>924</v>
      </c>
      <c r="L181" s="268">
        <f t="shared" si="39"/>
        <v>-70138.84</v>
      </c>
      <c r="M181" s="269">
        <f t="shared" si="40"/>
        <v>-0.941572158859033</v>
      </c>
      <c r="N181" s="675" t="s">
        <v>923</v>
      </c>
    </row>
    <row r="182" spans="1:14" ht="37.5" customHeight="1" x14ac:dyDescent="0.2">
      <c r="A182" s="437" t="s">
        <v>108</v>
      </c>
      <c r="B182" s="464" t="s">
        <v>109</v>
      </c>
      <c r="C182" s="280">
        <f>C3+C173</f>
        <v>19647642.269999996</v>
      </c>
      <c r="D182" s="276">
        <v>22789628.657500003</v>
      </c>
      <c r="E182" s="280">
        <v>19647642.269999996</v>
      </c>
      <c r="F182" s="280">
        <v>22789628.657500003</v>
      </c>
      <c r="G182" s="280">
        <f>G3+G173</f>
        <v>22504511.32</v>
      </c>
      <c r="H182" s="607"/>
      <c r="I182" s="277">
        <f t="shared" si="41"/>
        <v>-285117.33750000224</v>
      </c>
      <c r="J182" s="266">
        <f t="shared" si="42"/>
        <v>-1.2510837354349384E-2</v>
      </c>
      <c r="K182" s="671"/>
      <c r="L182" s="277">
        <f t="shared" si="39"/>
        <v>2856869.0500000045</v>
      </c>
      <c r="M182" s="266">
        <f t="shared" si="40"/>
        <v>0.14540518453769696</v>
      </c>
      <c r="N182" s="671"/>
    </row>
    <row r="183" spans="1:14" ht="155.25" customHeight="1" x14ac:dyDescent="0.2">
      <c r="A183" s="449">
        <v>8000</v>
      </c>
      <c r="B183" s="459" t="s">
        <v>110</v>
      </c>
      <c r="C183" s="280">
        <f>SUM(C184:C190)</f>
        <v>42916.62</v>
      </c>
      <c r="D183" s="276">
        <v>79009.150000000009</v>
      </c>
      <c r="E183" s="280">
        <v>42916.62</v>
      </c>
      <c r="F183" s="280">
        <v>79009.150000000009</v>
      </c>
      <c r="G183" s="280">
        <f>SUM(G184:G190)</f>
        <v>211178.71000000002</v>
      </c>
      <c r="H183" s="607"/>
      <c r="I183" s="277">
        <f t="shared" si="41"/>
        <v>132169.56</v>
      </c>
      <c r="J183" s="266">
        <f t="shared" si="42"/>
        <v>1.6728386522320513</v>
      </c>
      <c r="K183" s="741" t="s">
        <v>916</v>
      </c>
      <c r="L183" s="277">
        <f t="shared" si="39"/>
        <v>168262.09000000003</v>
      </c>
      <c r="M183" s="266">
        <f t="shared" si="40"/>
        <v>3.9206743215099422</v>
      </c>
      <c r="N183" s="741" t="s">
        <v>917</v>
      </c>
    </row>
    <row r="184" spans="1:14" x14ac:dyDescent="0.2">
      <c r="A184" s="447">
        <v>8100</v>
      </c>
      <c r="B184" s="472" t="s">
        <v>177</v>
      </c>
      <c r="C184" s="294"/>
      <c r="D184" s="267">
        <v>0</v>
      </c>
      <c r="E184" s="294"/>
      <c r="F184" s="294">
        <v>0</v>
      </c>
      <c r="G184" s="294">
        <v>0</v>
      </c>
      <c r="H184" s="609"/>
      <c r="I184" s="277">
        <f t="shared" si="41"/>
        <v>0</v>
      </c>
      <c r="J184" s="266" t="str">
        <f t="shared" si="42"/>
        <v>-</v>
      </c>
      <c r="K184" s="742"/>
      <c r="L184" s="268">
        <f t="shared" si="39"/>
        <v>0</v>
      </c>
      <c r="M184" s="269" t="str">
        <f t="shared" si="40"/>
        <v>-</v>
      </c>
      <c r="N184" s="742"/>
    </row>
    <row r="185" spans="1:14" ht="18.75" customHeight="1" x14ac:dyDescent="0.2">
      <c r="A185" s="447">
        <v>8200</v>
      </c>
      <c r="B185" s="472" t="s">
        <v>113</v>
      </c>
      <c r="C185" s="294"/>
      <c r="D185" s="267">
        <v>0</v>
      </c>
      <c r="E185" s="294"/>
      <c r="F185" s="294">
        <v>0</v>
      </c>
      <c r="G185" s="294">
        <v>0</v>
      </c>
      <c r="H185" s="609"/>
      <c r="I185" s="277">
        <f t="shared" si="41"/>
        <v>0</v>
      </c>
      <c r="J185" s="266" t="str">
        <f t="shared" si="42"/>
        <v>-</v>
      </c>
      <c r="K185" s="742"/>
      <c r="L185" s="268">
        <f t="shared" si="39"/>
        <v>0</v>
      </c>
      <c r="M185" s="269" t="str">
        <f t="shared" si="40"/>
        <v>-</v>
      </c>
      <c r="N185" s="742"/>
    </row>
    <row r="186" spans="1:14" x14ac:dyDescent="0.2">
      <c r="A186" s="447">
        <v>8300</v>
      </c>
      <c r="B186" s="472" t="s">
        <v>112</v>
      </c>
      <c r="C186" s="294">
        <f>19764.68</f>
        <v>19764.68</v>
      </c>
      <c r="D186" s="267">
        <v>19764.680000000004</v>
      </c>
      <c r="E186" s="294">
        <v>19764.68</v>
      </c>
      <c r="F186" s="294">
        <v>19764.680000000004</v>
      </c>
      <c r="G186" s="294">
        <v>18912</v>
      </c>
      <c r="H186" s="609"/>
      <c r="I186" s="277">
        <f t="shared" si="41"/>
        <v>-852.68000000000393</v>
      </c>
      <c r="J186" s="266">
        <f t="shared" si="42"/>
        <v>-4.3141604114005576E-2</v>
      </c>
      <c r="K186" s="742"/>
      <c r="L186" s="268">
        <f t="shared" si="39"/>
        <v>-852.68000000000029</v>
      </c>
      <c r="M186" s="269">
        <f t="shared" si="40"/>
        <v>-4.3141604114005402E-2</v>
      </c>
      <c r="N186" s="742"/>
    </row>
    <row r="187" spans="1:14" ht="31.5" x14ac:dyDescent="0.2">
      <c r="A187" s="447">
        <v>8600</v>
      </c>
      <c r="B187" s="472" t="s">
        <v>178</v>
      </c>
      <c r="C187" s="294">
        <v>33766.31</v>
      </c>
      <c r="D187" s="267">
        <v>33766.31</v>
      </c>
      <c r="E187" s="294">
        <v>33766.31</v>
      </c>
      <c r="F187" s="294">
        <v>33766.31</v>
      </c>
      <c r="G187" s="294">
        <v>31452.79</v>
      </c>
      <c r="H187" s="609"/>
      <c r="I187" s="277">
        <f t="shared" si="41"/>
        <v>-2313.5199999999968</v>
      </c>
      <c r="J187" s="266">
        <f t="shared" si="42"/>
        <v>-6.851562992817388E-2</v>
      </c>
      <c r="K187" s="742"/>
      <c r="L187" s="268">
        <f t="shared" si="39"/>
        <v>-2313.5199999999968</v>
      </c>
      <c r="M187" s="269">
        <f t="shared" si="40"/>
        <v>-6.851562992817388E-2</v>
      </c>
      <c r="N187" s="742"/>
    </row>
    <row r="188" spans="1:14" ht="31.5" x14ac:dyDescent="0.2">
      <c r="A188" s="447">
        <v>8700</v>
      </c>
      <c r="B188" s="472" t="s">
        <v>353</v>
      </c>
      <c r="C188" s="294">
        <f>-2652.89-13352.24</f>
        <v>-16005.13</v>
      </c>
      <c r="D188" s="267">
        <v>20000</v>
      </c>
      <c r="E188" s="294">
        <v>-16005.13</v>
      </c>
      <c r="F188" s="294">
        <v>20000</v>
      </c>
      <c r="G188" s="294">
        <f>151231-239.55</f>
        <v>150991.45000000001</v>
      </c>
      <c r="H188" s="609"/>
      <c r="I188" s="277">
        <f>G188-F188</f>
        <v>130991.45000000001</v>
      </c>
      <c r="J188" s="266">
        <f t="shared" si="42"/>
        <v>6.5495725000000009</v>
      </c>
      <c r="K188" s="742"/>
      <c r="L188" s="273">
        <f t="shared" si="39"/>
        <v>166996.58000000002</v>
      </c>
      <c r="M188" s="269">
        <f t="shared" si="40"/>
        <v>10.433940867709293</v>
      </c>
      <c r="N188" s="742"/>
    </row>
    <row r="189" spans="1:14" ht="18.75" customHeight="1" x14ac:dyDescent="0.2">
      <c r="A189" s="447">
        <v>8800</v>
      </c>
      <c r="B189" s="448" t="s">
        <v>111</v>
      </c>
      <c r="C189" s="321">
        <f>-42.61-56.8+5442.83+47.34</f>
        <v>5390.76</v>
      </c>
      <c r="D189" s="267">
        <v>5478.1600000000008</v>
      </c>
      <c r="E189" s="321">
        <v>5390.76</v>
      </c>
      <c r="F189" s="294">
        <v>5478.1600000000008</v>
      </c>
      <c r="G189" s="321">
        <f>9822+0.47</f>
        <v>9822.4699999999993</v>
      </c>
      <c r="H189" s="610"/>
      <c r="I189" s="277">
        <f t="shared" si="41"/>
        <v>4344.3099999999986</v>
      </c>
      <c r="J189" s="266">
        <f t="shared" si="42"/>
        <v>0.79302356995779566</v>
      </c>
      <c r="K189" s="742"/>
      <c r="L189" s="268">
        <f t="shared" si="39"/>
        <v>4431.7099999999991</v>
      </c>
      <c r="M189" s="269">
        <f t="shared" si="40"/>
        <v>0.82209373075410497</v>
      </c>
      <c r="N189" s="742"/>
    </row>
    <row r="190" spans="1:14" ht="63" x14ac:dyDescent="0.2">
      <c r="A190" s="433">
        <v>8900</v>
      </c>
      <c r="B190" s="448" t="s">
        <v>179</v>
      </c>
      <c r="C190" s="321"/>
      <c r="D190" s="267">
        <v>0</v>
      </c>
      <c r="E190" s="321"/>
      <c r="F190" s="294">
        <v>0</v>
      </c>
      <c r="G190" s="321"/>
      <c r="H190" s="610"/>
      <c r="I190" s="277">
        <f t="shared" si="41"/>
        <v>0</v>
      </c>
      <c r="J190" s="266" t="str">
        <f t="shared" si="42"/>
        <v>-</v>
      </c>
      <c r="K190" s="743"/>
      <c r="L190" s="268">
        <f t="shared" si="39"/>
        <v>0</v>
      </c>
      <c r="M190" s="269" t="str">
        <f t="shared" si="40"/>
        <v>-</v>
      </c>
      <c r="N190" s="743"/>
    </row>
    <row r="191" spans="1:14" x14ac:dyDescent="0.2">
      <c r="A191" s="437" t="s">
        <v>114</v>
      </c>
      <c r="B191" s="464" t="s">
        <v>115</v>
      </c>
      <c r="C191" s="280">
        <f t="shared" ref="C191" si="53">C163+C165+C183</f>
        <v>18977068.690000001</v>
      </c>
      <c r="D191" s="276">
        <v>22243276.800300002</v>
      </c>
      <c r="E191" s="280">
        <v>18977068.689999998</v>
      </c>
      <c r="F191" s="280">
        <v>22243276.800300002</v>
      </c>
      <c r="G191" s="280">
        <f>G163+G165+G183</f>
        <v>23110433.57</v>
      </c>
      <c r="H191" s="607"/>
      <c r="I191" s="277">
        <f t="shared" si="41"/>
        <v>867156.7696999982</v>
      </c>
      <c r="J191" s="266">
        <f t="shared" si="42"/>
        <v>3.898511795205923E-2</v>
      </c>
      <c r="K191" s="671"/>
      <c r="L191" s="277">
        <f t="shared" si="39"/>
        <v>4133364.8800000027</v>
      </c>
      <c r="M191" s="266">
        <f t="shared" si="40"/>
        <v>0.21780839535971575</v>
      </c>
      <c r="N191" s="671"/>
    </row>
    <row r="192" spans="1:14" x14ac:dyDescent="0.2">
      <c r="A192" s="474" t="s">
        <v>180</v>
      </c>
      <c r="B192" s="596" t="s">
        <v>116</v>
      </c>
      <c r="C192" s="325">
        <v>0</v>
      </c>
      <c r="D192" s="267">
        <v>0</v>
      </c>
      <c r="E192" s="325">
        <v>0</v>
      </c>
      <c r="F192" s="294">
        <v>0</v>
      </c>
      <c r="G192" s="325">
        <v>0</v>
      </c>
      <c r="H192" s="617"/>
      <c r="I192" s="277">
        <f t="shared" si="41"/>
        <v>0</v>
      </c>
      <c r="J192" s="266" t="str">
        <f t="shared" si="42"/>
        <v>-</v>
      </c>
      <c r="K192" s="688"/>
      <c r="L192" s="268">
        <f t="shared" si="39"/>
        <v>0</v>
      </c>
      <c r="M192" s="269" t="str">
        <f t="shared" si="40"/>
        <v>-</v>
      </c>
      <c r="N192" s="688"/>
    </row>
    <row r="193" spans="1:14" x14ac:dyDescent="0.2">
      <c r="A193" s="437" t="s">
        <v>181</v>
      </c>
      <c r="B193" s="464" t="s">
        <v>117</v>
      </c>
      <c r="C193" s="621">
        <f>C172+C173-C183-C192</f>
        <v>670573.57999999553</v>
      </c>
      <c r="D193" s="276">
        <v>546351.85719999694</v>
      </c>
      <c r="E193" s="280">
        <v>670573.57999999903</v>
      </c>
      <c r="F193" s="280">
        <v>546351.85719999741</v>
      </c>
      <c r="G193" s="280">
        <f>G172+G173-G183-G192</f>
        <v>-605922.24999999779</v>
      </c>
      <c r="H193" s="619"/>
      <c r="I193" s="277">
        <f t="shared" si="41"/>
        <v>-1152274.1071999953</v>
      </c>
      <c r="J193" s="266">
        <f t="shared" si="42"/>
        <v>-2.1090330196831273</v>
      </c>
      <c r="K193" s="671"/>
      <c r="L193" s="277">
        <f t="shared" si="39"/>
        <v>-1276495.8299999968</v>
      </c>
      <c r="M193" s="266">
        <f t="shared" si="40"/>
        <v>-1.9035880149050888</v>
      </c>
      <c r="N193" s="671"/>
    </row>
    <row r="195" spans="1:14" x14ac:dyDescent="0.2">
      <c r="A195" s="327" t="s">
        <v>582</v>
      </c>
    </row>
    <row r="196" spans="1:14" x14ac:dyDescent="0.2">
      <c r="A196" s="749" t="s">
        <v>710</v>
      </c>
      <c r="B196" s="749"/>
      <c r="C196" s="749"/>
      <c r="D196" s="749"/>
      <c r="E196" s="749"/>
      <c r="F196" s="749"/>
      <c r="G196" s="749"/>
      <c r="H196" s="749"/>
      <c r="I196" s="749"/>
      <c r="J196" s="749"/>
      <c r="K196" s="749"/>
      <c r="L196" s="559"/>
      <c r="M196" s="327"/>
      <c r="N196" s="327"/>
    </row>
    <row r="197" spans="1:14" ht="18.75" x14ac:dyDescent="0.2">
      <c r="A197" s="327" t="s">
        <v>711</v>
      </c>
    </row>
    <row r="198" spans="1:14" x14ac:dyDescent="0.2">
      <c r="A198" s="327" t="s">
        <v>641</v>
      </c>
    </row>
    <row r="205" spans="1:14" x14ac:dyDescent="0.2">
      <c r="I205" s="583"/>
      <c r="K205" s="583"/>
    </row>
  </sheetData>
  <sheetProtection formatColumns="0" formatRows="0"/>
  <mergeCells count="52">
    <mergeCell ref="K183:K190"/>
    <mergeCell ref="N16:N20"/>
    <mergeCell ref="N13:N15"/>
    <mergeCell ref="N10:N12"/>
    <mergeCell ref="N129:N135"/>
    <mergeCell ref="N121:N123"/>
    <mergeCell ref="N109:N112"/>
    <mergeCell ref="N104:N108"/>
    <mergeCell ref="N97:N101"/>
    <mergeCell ref="N91:N96"/>
    <mergeCell ref="N83:N89"/>
    <mergeCell ref="N69:N74"/>
    <mergeCell ref="N64:N66"/>
    <mergeCell ref="N61:N63"/>
    <mergeCell ref="K151:K153"/>
    <mergeCell ref="N183:N190"/>
    <mergeCell ref="N53:N58"/>
    <mergeCell ref="N40:N48"/>
    <mergeCell ref="N25:N28"/>
    <mergeCell ref="N22:N24"/>
    <mergeCell ref="N37:N39"/>
    <mergeCell ref="A196:K196"/>
    <mergeCell ref="K10:K12"/>
    <mergeCell ref="K13:K15"/>
    <mergeCell ref="K16:K20"/>
    <mergeCell ref="K22:K24"/>
    <mergeCell ref="K25:K28"/>
    <mergeCell ref="K40:K48"/>
    <mergeCell ref="K53:K58"/>
    <mergeCell ref="K61:K63"/>
    <mergeCell ref="K64:K66"/>
    <mergeCell ref="K69:K74"/>
    <mergeCell ref="K83:K89"/>
    <mergeCell ref="K91:K96"/>
    <mergeCell ref="K104:K108"/>
    <mergeCell ref="K109:K112"/>
    <mergeCell ref="K97:K101"/>
    <mergeCell ref="K121:K123"/>
    <mergeCell ref="K129:K135"/>
    <mergeCell ref="N173:N180"/>
    <mergeCell ref="N167:N171"/>
    <mergeCell ref="N158:N162"/>
    <mergeCell ref="N154:N157"/>
    <mergeCell ref="K154:K157"/>
    <mergeCell ref="K158:K162"/>
    <mergeCell ref="K167:K171"/>
    <mergeCell ref="K173:K180"/>
    <mergeCell ref="K125:K126"/>
    <mergeCell ref="N125:N126"/>
    <mergeCell ref="N151:N153"/>
    <mergeCell ref="N140:N147"/>
    <mergeCell ref="K140:K147"/>
  </mergeCells>
  <pageMargins left="0.70866141732283472" right="0.70866141732283472" top="0.59055118110236227" bottom="0.74803149606299213" header="0.31496062992125984" footer="0.31496062992125984"/>
  <pageSetup paperSize="9" scale="55" fitToHeight="0" orientation="portrait" r:id="rId1"/>
  <headerFooter>
    <oddHeader xml:space="preserve">&amp;C&amp;"Times New Roman,Bold"&amp;14
Budžeta&amp;"Times New Roman,Regular" &amp;"Times New Roman,Bold"tāme&amp;R&amp;"Times New Roman,Regular"&amp;14 1.pielikums
</oddHeader>
    <oddFooter>&amp;C&amp;"Times New Roman,Regular"&amp;12&amp;F&amp;R&amp;"Times New Roman,Regular"&amp;12&amp;P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2">
    <tabColor theme="9" tint="0.79998168889431442"/>
    <pageSetUpPr fitToPage="1"/>
  </sheetPr>
  <dimension ref="A1:M34"/>
  <sheetViews>
    <sheetView topLeftCell="A13" zoomScale="85" zoomScaleNormal="85" zoomScalePageLayoutView="70" workbookViewId="0">
      <selection activeCell="J12" sqref="J12"/>
    </sheetView>
  </sheetViews>
  <sheetFormatPr defaultRowHeight="18" x14ac:dyDescent="0.2"/>
  <cols>
    <col min="1" max="1" width="9.28515625" style="6" bestFit="1" customWidth="1"/>
    <col min="2" max="2" width="51.5703125" style="6" customWidth="1"/>
    <col min="3" max="9" width="16.5703125" style="6" customWidth="1"/>
    <col min="10" max="10" width="38.42578125" style="6" customWidth="1"/>
    <col min="11" max="12" width="16.5703125" style="6" customWidth="1"/>
    <col min="13" max="13" width="49" style="6" customWidth="1"/>
    <col min="14" max="14" width="9.140625" style="6" customWidth="1"/>
    <col min="15" max="16384" width="9.140625" style="6"/>
  </cols>
  <sheetData>
    <row r="1" spans="1:13" ht="131.25" x14ac:dyDescent="0.2">
      <c r="A1" s="690" t="s">
        <v>465</v>
      </c>
      <c r="B1" s="691" t="s">
        <v>444</v>
      </c>
      <c r="C1" s="622" t="s">
        <v>722</v>
      </c>
      <c r="D1" s="622" t="s">
        <v>716</v>
      </c>
      <c r="E1" s="622" t="s">
        <v>813</v>
      </c>
      <c r="F1" s="622" t="s">
        <v>814</v>
      </c>
      <c r="G1" s="622" t="s">
        <v>817</v>
      </c>
      <c r="H1" s="692" t="s">
        <v>715</v>
      </c>
      <c r="I1" s="692" t="s">
        <v>718</v>
      </c>
      <c r="J1" s="693" t="s">
        <v>885</v>
      </c>
      <c r="K1" s="692" t="s">
        <v>721</v>
      </c>
      <c r="L1" s="692" t="s">
        <v>719</v>
      </c>
      <c r="M1" s="693" t="s">
        <v>885</v>
      </c>
    </row>
    <row r="2" spans="1:13" ht="18.75" x14ac:dyDescent="0.2">
      <c r="A2" s="691">
        <v>1</v>
      </c>
      <c r="B2" s="691">
        <v>2</v>
      </c>
      <c r="C2" s="622">
        <v>3</v>
      </c>
      <c r="D2" s="622">
        <v>4</v>
      </c>
      <c r="E2" s="622">
        <v>5</v>
      </c>
      <c r="F2" s="622">
        <v>6</v>
      </c>
      <c r="G2" s="622">
        <v>7</v>
      </c>
      <c r="H2" s="692">
        <v>8</v>
      </c>
      <c r="I2" s="692">
        <v>9</v>
      </c>
      <c r="J2" s="693">
        <v>10</v>
      </c>
      <c r="K2" s="692">
        <v>11</v>
      </c>
      <c r="L2" s="692">
        <v>12</v>
      </c>
      <c r="M2" s="693">
        <v>13</v>
      </c>
    </row>
    <row r="3" spans="1:13" ht="273" customHeight="1" x14ac:dyDescent="0.2">
      <c r="A3" s="691">
        <v>1</v>
      </c>
      <c r="B3" s="694" t="s">
        <v>445</v>
      </c>
      <c r="C3" s="623">
        <v>19173121</v>
      </c>
      <c r="D3" s="623">
        <v>20948326</v>
      </c>
      <c r="E3" s="623">
        <v>19173121</v>
      </c>
      <c r="F3" s="623">
        <v>20948326</v>
      </c>
      <c r="G3" s="623">
        <v>21975868</v>
      </c>
      <c r="H3" s="695">
        <f>G3-F3</f>
        <v>1027542</v>
      </c>
      <c r="I3" s="696">
        <f>IFERROR(H3/ABS(F3), "-")</f>
        <v>4.9051270254243703E-2</v>
      </c>
      <c r="J3" s="697"/>
      <c r="K3" s="695">
        <f>G3-E3</f>
        <v>2802747</v>
      </c>
      <c r="L3" s="698">
        <f>IFERROR(K3/ABS(E3), "-")</f>
        <v>0.14618105210935664</v>
      </c>
      <c r="M3" s="727" t="s">
        <v>884</v>
      </c>
    </row>
    <row r="4" spans="1:13" ht="378.75" customHeight="1" x14ac:dyDescent="0.2">
      <c r="A4" s="691">
        <v>2</v>
      </c>
      <c r="B4" s="694" t="s">
        <v>446</v>
      </c>
      <c r="C4" s="623">
        <v>17127917</v>
      </c>
      <c r="D4" s="623">
        <v>20398294</v>
      </c>
      <c r="E4" s="623">
        <v>17127917</v>
      </c>
      <c r="F4" s="623">
        <v>20398294</v>
      </c>
      <c r="G4" s="623">
        <v>21193130</v>
      </c>
      <c r="H4" s="695">
        <f t="shared" ref="H4:H22" si="0">G4-F4</f>
        <v>794836</v>
      </c>
      <c r="I4" s="698">
        <f t="shared" ref="I4:I22" si="1">IFERROR(H4/ABS(F4), "-")</f>
        <v>3.8965807630775395E-2</v>
      </c>
      <c r="J4" s="699"/>
      <c r="K4" s="695">
        <f t="shared" ref="K4:K22" si="2">G4-E4</f>
        <v>4065213</v>
      </c>
      <c r="L4" s="698">
        <f t="shared" ref="L4:L22" si="3">IFERROR(K4/ABS(E4), "-")</f>
        <v>0.23734427251136259</v>
      </c>
      <c r="M4" s="728" t="s">
        <v>899</v>
      </c>
    </row>
    <row r="5" spans="1:13" ht="37.5" x14ac:dyDescent="0.2">
      <c r="A5" s="700">
        <v>3</v>
      </c>
      <c r="B5" s="701" t="s">
        <v>447</v>
      </c>
      <c r="C5" s="624">
        <f>C3-C4</f>
        <v>2045204</v>
      </c>
      <c r="D5" s="624">
        <v>550032</v>
      </c>
      <c r="E5" s="624">
        <v>2045204</v>
      </c>
      <c r="F5" s="624">
        <f>F3-F4</f>
        <v>550032</v>
      </c>
      <c r="G5" s="624">
        <f>G3-G4</f>
        <v>782738</v>
      </c>
      <c r="H5" s="702">
        <f t="shared" si="0"/>
        <v>232706</v>
      </c>
      <c r="I5" s="703">
        <f t="shared" si="1"/>
        <v>0.42307720278092908</v>
      </c>
      <c r="J5" s="704"/>
      <c r="K5" s="702">
        <f t="shared" si="2"/>
        <v>-1262466</v>
      </c>
      <c r="L5" s="703">
        <f t="shared" si="3"/>
        <v>-0.61728121008955583</v>
      </c>
      <c r="M5" s="705"/>
    </row>
    <row r="6" spans="1:13" ht="18.75" x14ac:dyDescent="0.2">
      <c r="A6" s="691">
        <v>4</v>
      </c>
      <c r="B6" s="694" t="s">
        <v>448</v>
      </c>
      <c r="C6" s="623"/>
      <c r="D6" s="623"/>
      <c r="E6" s="623"/>
      <c r="F6" s="623"/>
      <c r="G6" s="623"/>
      <c r="H6" s="695">
        <f t="shared" si="0"/>
        <v>0</v>
      </c>
      <c r="I6" s="698" t="str">
        <f t="shared" si="1"/>
        <v>-</v>
      </c>
      <c r="J6" s="706"/>
      <c r="K6" s="695">
        <f t="shared" si="2"/>
        <v>0</v>
      </c>
      <c r="L6" s="698" t="str">
        <f t="shared" si="3"/>
        <v>-</v>
      </c>
      <c r="M6" s="706"/>
    </row>
    <row r="7" spans="1:13" ht="176.25" customHeight="1" x14ac:dyDescent="0.2">
      <c r="A7" s="691">
        <v>5</v>
      </c>
      <c r="B7" s="694" t="s">
        <v>449</v>
      </c>
      <c r="C7" s="623">
        <v>1110189</v>
      </c>
      <c r="D7" s="623">
        <v>1261352</v>
      </c>
      <c r="E7" s="623">
        <v>1110189</v>
      </c>
      <c r="F7" s="623">
        <v>1261352</v>
      </c>
      <c r="G7" s="623">
        <v>1140827</v>
      </c>
      <c r="H7" s="695">
        <f t="shared" si="0"/>
        <v>-120525</v>
      </c>
      <c r="I7" s="698">
        <f t="shared" si="1"/>
        <v>-9.55522328422201E-2</v>
      </c>
      <c r="J7" s="728" t="s">
        <v>897</v>
      </c>
      <c r="K7" s="695">
        <f>G7-E7</f>
        <v>30638</v>
      </c>
      <c r="L7" s="698">
        <f t="shared" si="3"/>
        <v>2.7597102835643299E-2</v>
      </c>
      <c r="M7" s="728" t="s">
        <v>898</v>
      </c>
    </row>
    <row r="8" spans="1:13" ht="206.25" customHeight="1" x14ac:dyDescent="0.2">
      <c r="A8" s="691">
        <v>6</v>
      </c>
      <c r="B8" s="694" t="s">
        <v>450</v>
      </c>
      <c r="C8" s="623">
        <v>474493</v>
      </c>
      <c r="D8" s="623">
        <v>1841303</v>
      </c>
      <c r="E8" s="623">
        <v>474493</v>
      </c>
      <c r="F8" s="707">
        <v>1841303</v>
      </c>
      <c r="G8" s="623">
        <v>528583</v>
      </c>
      <c r="H8" s="695">
        <f t="shared" si="0"/>
        <v>-1312720</v>
      </c>
      <c r="I8" s="698">
        <f t="shared" si="1"/>
        <v>-0.7129299197361868</v>
      </c>
      <c r="J8" s="728" t="s">
        <v>895</v>
      </c>
      <c r="K8" s="695">
        <f t="shared" si="2"/>
        <v>54090</v>
      </c>
      <c r="L8" s="698">
        <f t="shared" si="3"/>
        <v>0.11399535925714394</v>
      </c>
      <c r="M8" s="728" t="s">
        <v>896</v>
      </c>
    </row>
    <row r="9" spans="1:13" ht="213.75" customHeight="1" x14ac:dyDescent="0.2">
      <c r="A9" s="691">
        <v>7</v>
      </c>
      <c r="B9" s="694" t="s">
        <v>451</v>
      </c>
      <c r="C9" s="623">
        <v>738915</v>
      </c>
      <c r="D9" s="623">
        <v>583511</v>
      </c>
      <c r="E9" s="623">
        <v>738915</v>
      </c>
      <c r="F9" s="623">
        <v>583511</v>
      </c>
      <c r="G9" s="623">
        <v>776462</v>
      </c>
      <c r="H9" s="695">
        <f t="shared" si="0"/>
        <v>192951</v>
      </c>
      <c r="I9" s="698">
        <f t="shared" si="1"/>
        <v>0.33067242948290604</v>
      </c>
      <c r="J9" s="728" t="s">
        <v>893</v>
      </c>
      <c r="K9" s="695">
        <f t="shared" si="2"/>
        <v>37547</v>
      </c>
      <c r="L9" s="696">
        <f t="shared" si="3"/>
        <v>5.0813693049944854E-2</v>
      </c>
      <c r="M9" s="728" t="s">
        <v>894</v>
      </c>
    </row>
    <row r="10" spans="1:13" ht="37.5" x14ac:dyDescent="0.2">
      <c r="A10" s="691">
        <v>8</v>
      </c>
      <c r="B10" s="694" t="s">
        <v>452</v>
      </c>
      <c r="C10" s="623"/>
      <c r="D10" s="623"/>
      <c r="E10" s="623"/>
      <c r="F10" s="623"/>
      <c r="G10" s="623"/>
      <c r="H10" s="695">
        <f>G10-F10</f>
        <v>0</v>
      </c>
      <c r="I10" s="698" t="str">
        <f>IFERROR(H10/ABS(F10), "-")</f>
        <v>-</v>
      </c>
      <c r="J10" s="706"/>
      <c r="K10" s="695">
        <f t="shared" si="2"/>
        <v>0</v>
      </c>
      <c r="L10" s="698" t="str">
        <f t="shared" si="3"/>
        <v>-</v>
      </c>
      <c r="M10" s="706"/>
    </row>
    <row r="11" spans="1:13" ht="37.5" x14ac:dyDescent="0.2">
      <c r="A11" s="691">
        <v>9</v>
      </c>
      <c r="B11" s="694" t="s">
        <v>453</v>
      </c>
      <c r="C11" s="623"/>
      <c r="D11" s="623"/>
      <c r="E11" s="623"/>
      <c r="F11" s="623"/>
      <c r="G11" s="623"/>
      <c r="H11" s="695">
        <f t="shared" si="0"/>
        <v>0</v>
      </c>
      <c r="I11" s="698" t="str">
        <f t="shared" si="1"/>
        <v>-</v>
      </c>
      <c r="J11" s="706"/>
      <c r="K11" s="695">
        <f t="shared" si="2"/>
        <v>0</v>
      </c>
      <c r="L11" s="698" t="str">
        <f t="shared" si="3"/>
        <v>-</v>
      </c>
      <c r="M11" s="706"/>
    </row>
    <row r="12" spans="1:13" ht="56.25" x14ac:dyDescent="0.2">
      <c r="A12" s="691">
        <v>10</v>
      </c>
      <c r="B12" s="694" t="s">
        <v>454</v>
      </c>
      <c r="C12" s="623">
        <v>28</v>
      </c>
      <c r="D12" s="623"/>
      <c r="E12" s="623">
        <v>28</v>
      </c>
      <c r="F12" s="623"/>
      <c r="G12" s="623">
        <v>57</v>
      </c>
      <c r="H12" s="695">
        <f t="shared" si="0"/>
        <v>57</v>
      </c>
      <c r="I12" s="698" t="str">
        <f t="shared" si="1"/>
        <v>-</v>
      </c>
      <c r="J12" s="728" t="s">
        <v>882</v>
      </c>
      <c r="K12" s="695">
        <f t="shared" si="2"/>
        <v>29</v>
      </c>
      <c r="L12" s="698">
        <f t="shared" si="3"/>
        <v>1.0357142857142858</v>
      </c>
      <c r="M12" s="763" t="s">
        <v>883</v>
      </c>
    </row>
    <row r="13" spans="1:13" ht="37.5" x14ac:dyDescent="0.2">
      <c r="A13" s="691">
        <v>11</v>
      </c>
      <c r="B13" s="694" t="s">
        <v>455</v>
      </c>
      <c r="C13" s="623"/>
      <c r="D13" s="623"/>
      <c r="E13" s="623"/>
      <c r="F13" s="623"/>
      <c r="G13" s="623"/>
      <c r="H13" s="695">
        <f t="shared" si="0"/>
        <v>0</v>
      </c>
      <c r="I13" s="698" t="str">
        <f t="shared" si="1"/>
        <v>-</v>
      </c>
      <c r="J13" s="706"/>
      <c r="K13" s="695">
        <f t="shared" si="2"/>
        <v>0</v>
      </c>
      <c r="L13" s="698" t="str">
        <f t="shared" si="3"/>
        <v>-</v>
      </c>
      <c r="M13" s="764"/>
    </row>
    <row r="14" spans="1:13" ht="54.75" customHeight="1" x14ac:dyDescent="0.2">
      <c r="A14" s="691">
        <v>12</v>
      </c>
      <c r="B14" s="694" t="s">
        <v>456</v>
      </c>
      <c r="C14" s="623">
        <v>47</v>
      </c>
      <c r="D14" s="623"/>
      <c r="E14" s="623">
        <v>47</v>
      </c>
      <c r="F14" s="623"/>
      <c r="G14" s="623">
        <v>11</v>
      </c>
      <c r="H14" s="695">
        <f t="shared" si="0"/>
        <v>11</v>
      </c>
      <c r="I14" s="698" t="str">
        <f t="shared" si="1"/>
        <v>-</v>
      </c>
      <c r="J14" s="708"/>
      <c r="K14" s="695">
        <f t="shared" si="2"/>
        <v>-36</v>
      </c>
      <c r="L14" s="698">
        <f t="shared" si="3"/>
        <v>-0.76595744680851063</v>
      </c>
      <c r="M14" s="765"/>
    </row>
    <row r="15" spans="1:13" ht="37.5" x14ac:dyDescent="0.2">
      <c r="A15" s="700">
        <v>13</v>
      </c>
      <c r="B15" s="701" t="s">
        <v>457</v>
      </c>
      <c r="C15" s="624">
        <f>C5-C7+C8-C9+C12-C14</f>
        <v>670574</v>
      </c>
      <c r="D15" s="624">
        <v>546472</v>
      </c>
      <c r="E15" s="624">
        <v>670574</v>
      </c>
      <c r="F15" s="624">
        <v>546472</v>
      </c>
      <c r="G15" s="624">
        <f>G5-G7+G8-G9+G12-G14</f>
        <v>-605922</v>
      </c>
      <c r="H15" s="702">
        <f t="shared" si="0"/>
        <v>-1152394</v>
      </c>
      <c r="I15" s="703">
        <f t="shared" si="1"/>
        <v>-2.1087887394047637</v>
      </c>
      <c r="J15" s="705"/>
      <c r="K15" s="702">
        <f t="shared" si="2"/>
        <v>-1276496</v>
      </c>
      <c r="L15" s="703">
        <f t="shared" si="3"/>
        <v>-1.9035870761467042</v>
      </c>
      <c r="M15" s="705"/>
    </row>
    <row r="16" spans="1:13" ht="18.75" x14ac:dyDescent="0.2">
      <c r="A16" s="691">
        <v>14</v>
      </c>
      <c r="B16" s="694" t="s">
        <v>458</v>
      </c>
      <c r="C16" s="623"/>
      <c r="D16" s="623"/>
      <c r="E16" s="623"/>
      <c r="F16" s="623"/>
      <c r="G16" s="623"/>
      <c r="H16" s="695">
        <f t="shared" si="0"/>
        <v>0</v>
      </c>
      <c r="I16" s="698" t="str">
        <f t="shared" si="1"/>
        <v>-</v>
      </c>
      <c r="J16" s="706"/>
      <c r="K16" s="695">
        <f t="shared" si="2"/>
        <v>0</v>
      </c>
      <c r="L16" s="698" t="str">
        <f t="shared" si="3"/>
        <v>-</v>
      </c>
      <c r="M16" s="706"/>
    </row>
    <row r="17" spans="1:13" ht="18.75" x14ac:dyDescent="0.2">
      <c r="A17" s="691">
        <v>15</v>
      </c>
      <c r="B17" s="694" t="s">
        <v>459</v>
      </c>
      <c r="C17" s="623"/>
      <c r="D17" s="623"/>
      <c r="E17" s="623"/>
      <c r="F17" s="623"/>
      <c r="G17" s="623"/>
      <c r="H17" s="695">
        <f t="shared" si="0"/>
        <v>0</v>
      </c>
      <c r="I17" s="698" t="str">
        <f t="shared" si="1"/>
        <v>-</v>
      </c>
      <c r="J17" s="706"/>
      <c r="K17" s="695">
        <f t="shared" si="2"/>
        <v>0</v>
      </c>
      <c r="L17" s="698" t="str">
        <f t="shared" si="3"/>
        <v>-</v>
      </c>
      <c r="M17" s="706"/>
    </row>
    <row r="18" spans="1:13" ht="37.5" x14ac:dyDescent="0.2">
      <c r="A18" s="691">
        <v>16</v>
      </c>
      <c r="B18" s="694" t="s">
        <v>460</v>
      </c>
      <c r="C18" s="623"/>
      <c r="D18" s="623"/>
      <c r="E18" s="623"/>
      <c r="F18" s="623"/>
      <c r="G18" s="623"/>
      <c r="H18" s="695">
        <f t="shared" si="0"/>
        <v>0</v>
      </c>
      <c r="I18" s="698" t="str">
        <f t="shared" si="1"/>
        <v>-</v>
      </c>
      <c r="J18" s="706"/>
      <c r="K18" s="695">
        <f t="shared" si="2"/>
        <v>0</v>
      </c>
      <c r="L18" s="698" t="str">
        <f t="shared" si="3"/>
        <v>-</v>
      </c>
      <c r="M18" s="706"/>
    </row>
    <row r="19" spans="1:13" ht="37.5" x14ac:dyDescent="0.2">
      <c r="A19" s="691">
        <v>17</v>
      </c>
      <c r="B19" s="694" t="s">
        <v>461</v>
      </c>
      <c r="C19" s="623"/>
      <c r="D19" s="623"/>
      <c r="E19" s="623"/>
      <c r="F19" s="623"/>
      <c r="G19" s="623"/>
      <c r="H19" s="695">
        <f t="shared" si="0"/>
        <v>0</v>
      </c>
      <c r="I19" s="698" t="str">
        <f t="shared" si="1"/>
        <v>-</v>
      </c>
      <c r="J19" s="706"/>
      <c r="K19" s="695">
        <f t="shared" si="2"/>
        <v>0</v>
      </c>
      <c r="L19" s="698" t="str">
        <f t="shared" si="3"/>
        <v>-</v>
      </c>
      <c r="M19" s="706"/>
    </row>
    <row r="20" spans="1:13" ht="18.75" x14ac:dyDescent="0.2">
      <c r="A20" s="691">
        <v>18</v>
      </c>
      <c r="B20" s="694" t="s">
        <v>462</v>
      </c>
      <c r="C20" s="623"/>
      <c r="D20" s="623"/>
      <c r="E20" s="623"/>
      <c r="F20" s="623"/>
      <c r="G20" s="623"/>
      <c r="H20" s="695">
        <f t="shared" si="0"/>
        <v>0</v>
      </c>
      <c r="I20" s="698" t="str">
        <f t="shared" si="1"/>
        <v>-</v>
      </c>
      <c r="J20" s="706"/>
      <c r="K20" s="695">
        <f t="shared" si="2"/>
        <v>0</v>
      </c>
      <c r="L20" s="698" t="str">
        <f t="shared" si="3"/>
        <v>-</v>
      </c>
      <c r="M20" s="706"/>
    </row>
    <row r="21" spans="1:13" ht="18.75" x14ac:dyDescent="0.2">
      <c r="A21" s="691">
        <v>19</v>
      </c>
      <c r="B21" s="694" t="s">
        <v>463</v>
      </c>
      <c r="C21" s="623"/>
      <c r="D21" s="623"/>
      <c r="E21" s="623"/>
      <c r="F21" s="623"/>
      <c r="G21" s="623"/>
      <c r="H21" s="695">
        <f t="shared" si="0"/>
        <v>0</v>
      </c>
      <c r="I21" s="698" t="str">
        <f t="shared" si="1"/>
        <v>-</v>
      </c>
      <c r="J21" s="706"/>
      <c r="K21" s="695">
        <f t="shared" si="2"/>
        <v>0</v>
      </c>
      <c r="L21" s="698" t="str">
        <f t="shared" si="3"/>
        <v>-</v>
      </c>
      <c r="M21" s="706"/>
    </row>
    <row r="22" spans="1:13" ht="37.5" x14ac:dyDescent="0.2">
      <c r="A22" s="700">
        <v>20</v>
      </c>
      <c r="B22" s="701" t="s">
        <v>464</v>
      </c>
      <c r="C22" s="624">
        <v>670574</v>
      </c>
      <c r="D22" s="624">
        <v>546472</v>
      </c>
      <c r="E22" s="624">
        <v>670574</v>
      </c>
      <c r="F22" s="624">
        <v>546472</v>
      </c>
      <c r="G22" s="624">
        <f>G15</f>
        <v>-605922</v>
      </c>
      <c r="H22" s="702">
        <f t="shared" si="0"/>
        <v>-1152394</v>
      </c>
      <c r="I22" s="703">
        <f t="shared" si="1"/>
        <v>-2.1087887394047637</v>
      </c>
      <c r="J22" s="705"/>
      <c r="K22" s="702">
        <f t="shared" si="2"/>
        <v>-1276496</v>
      </c>
      <c r="L22" s="703">
        <f t="shared" si="3"/>
        <v>-1.9035870761467042</v>
      </c>
      <c r="M22" s="705"/>
    </row>
    <row r="23" spans="1:13" ht="19.5" x14ac:dyDescent="0.2">
      <c r="A23" s="180"/>
      <c r="B23" s="181"/>
      <c r="C23" s="182"/>
      <c r="D23" s="182"/>
      <c r="E23" s="182"/>
      <c r="F23" s="182"/>
      <c r="G23" s="182"/>
      <c r="H23" s="343"/>
      <c r="I23" s="344"/>
      <c r="J23" s="709"/>
      <c r="K23" s="343"/>
      <c r="L23" s="344"/>
      <c r="M23" s="709"/>
    </row>
    <row r="24" spans="1:13" ht="18.75" x14ac:dyDescent="0.2">
      <c r="A24" s="345"/>
      <c r="B24" s="183"/>
      <c r="C24" s="183"/>
      <c r="D24" s="183"/>
      <c r="E24" s="183"/>
      <c r="F24" s="183"/>
      <c r="G24" s="183"/>
      <c r="H24" s="183"/>
      <c r="I24" s="183"/>
      <c r="J24" s="183"/>
      <c r="K24" s="183"/>
      <c r="L24" s="183"/>
      <c r="M24" s="183"/>
    </row>
    <row r="25" spans="1:13" ht="18.75" x14ac:dyDescent="0.2">
      <c r="A25" s="762"/>
      <c r="B25" s="762"/>
      <c r="C25" s="762"/>
      <c r="D25" s="762"/>
      <c r="E25" s="762"/>
      <c r="F25" s="762"/>
      <c r="G25" s="762"/>
      <c r="H25" s="762"/>
    </row>
    <row r="26" spans="1:13" ht="18.75" x14ac:dyDescent="0.2">
      <c r="A26" s="185"/>
      <c r="B26" s="183"/>
      <c r="C26" s="183"/>
      <c r="D26" s="183"/>
      <c r="E26" s="183"/>
      <c r="F26" s="183"/>
      <c r="G26" s="183"/>
      <c r="H26" s="183"/>
      <c r="I26" s="183"/>
      <c r="J26" s="183"/>
      <c r="K26" s="183"/>
      <c r="L26" s="183"/>
      <c r="M26" s="183"/>
    </row>
    <row r="27" spans="1:13" x14ac:dyDescent="0.2">
      <c r="A27" s="183"/>
      <c r="B27" s="183"/>
      <c r="C27" s="183"/>
      <c r="D27" s="183"/>
      <c r="E27" s="183"/>
      <c r="F27" s="183"/>
      <c r="G27" s="183"/>
      <c r="H27" s="183"/>
      <c r="I27" s="183"/>
      <c r="J27" s="183"/>
      <c r="K27" s="183"/>
      <c r="L27" s="183"/>
      <c r="M27" s="183"/>
    </row>
    <row r="28" spans="1:13" x14ac:dyDescent="0.2">
      <c r="A28" s="183"/>
      <c r="B28" s="183"/>
      <c r="C28" s="183"/>
      <c r="D28" s="183"/>
      <c r="E28" s="183"/>
      <c r="F28" s="183"/>
      <c r="G28" s="183"/>
      <c r="H28" s="183"/>
      <c r="I28" s="183"/>
      <c r="J28" s="183"/>
      <c r="K28" s="183"/>
      <c r="L28" s="183"/>
      <c r="M28" s="183"/>
    </row>
    <row r="29" spans="1:13" ht="18.75" x14ac:dyDescent="0.2">
      <c r="A29" s="184"/>
      <c r="B29" s="185"/>
      <c r="C29" s="186"/>
      <c r="D29" s="186"/>
      <c r="E29" s="186"/>
      <c r="F29" s="186"/>
      <c r="G29" s="186"/>
      <c r="H29" s="186"/>
      <c r="I29" s="186"/>
      <c r="J29" s="186"/>
      <c r="K29" s="186"/>
      <c r="L29" s="186"/>
      <c r="M29" s="186"/>
    </row>
    <row r="30" spans="1:13" ht="18.75" x14ac:dyDescent="0.2">
      <c r="A30" s="184"/>
      <c r="B30" s="185"/>
      <c r="C30" s="186"/>
      <c r="D30" s="186"/>
      <c r="E30" s="186"/>
      <c r="F30" s="186"/>
      <c r="G30" s="186"/>
      <c r="H30" s="186"/>
      <c r="I30" s="186"/>
      <c r="J30" s="186"/>
      <c r="K30" s="186"/>
      <c r="L30" s="186"/>
      <c r="M30" s="186"/>
    </row>
    <row r="31" spans="1:13" ht="18.75" x14ac:dyDescent="0.2">
      <c r="A31" s="184"/>
      <c r="B31" s="185"/>
      <c r="C31" s="186"/>
      <c r="D31" s="186"/>
      <c r="E31" s="186"/>
      <c r="F31" s="186"/>
      <c r="G31" s="186"/>
      <c r="H31" s="186"/>
      <c r="I31" s="186"/>
      <c r="J31" s="186"/>
      <c r="K31" s="186"/>
      <c r="L31" s="186"/>
      <c r="M31" s="186"/>
    </row>
    <row r="32" spans="1:13" ht="18.75" x14ac:dyDescent="0.2">
      <c r="A32" s="184"/>
      <c r="B32" s="185"/>
      <c r="C32" s="186"/>
      <c r="D32" s="186"/>
      <c r="E32" s="186"/>
      <c r="F32" s="186"/>
      <c r="G32" s="186"/>
      <c r="H32" s="186"/>
      <c r="I32" s="186"/>
      <c r="J32" s="186"/>
      <c r="K32" s="186"/>
      <c r="L32" s="186"/>
      <c r="M32" s="186"/>
    </row>
    <row r="33" spans="1:13" ht="18.75" x14ac:dyDescent="0.2">
      <c r="A33" s="184"/>
      <c r="B33" s="185"/>
      <c r="C33" s="186"/>
      <c r="D33" s="186"/>
      <c r="E33" s="186"/>
      <c r="F33" s="186"/>
      <c r="G33" s="186"/>
      <c r="H33" s="186"/>
      <c r="I33" s="186"/>
      <c r="J33" s="186"/>
      <c r="K33" s="186"/>
      <c r="L33" s="186"/>
      <c r="M33" s="186"/>
    </row>
    <row r="34" spans="1:13" ht="18.75" x14ac:dyDescent="0.2">
      <c r="A34" s="184"/>
      <c r="B34" s="185"/>
      <c r="C34" s="186"/>
      <c r="D34" s="186"/>
      <c r="E34" s="186"/>
      <c r="F34" s="186"/>
      <c r="G34" s="186"/>
      <c r="H34" s="186"/>
      <c r="I34" s="186"/>
      <c r="J34" s="186"/>
      <c r="K34" s="186"/>
      <c r="L34" s="186"/>
      <c r="M34" s="186"/>
    </row>
  </sheetData>
  <sheetProtection formatColumns="0" formatRows="0"/>
  <mergeCells count="2">
    <mergeCell ref="A25:H25"/>
    <mergeCell ref="M12:M14"/>
  </mergeCells>
  <pageMargins left="0.70866141732283472" right="0.70866141732283472" top="0.74803149606299213" bottom="0.74803149606299213" header="0.31496062992125984" footer="0.31496062992125984"/>
  <pageSetup paperSize="9" scale="30" fitToHeight="0" orientation="portrait" r:id="rId1"/>
  <headerFooter>
    <oddHeader>&amp;C&amp;"Times New Roman,Bold"&amp;14
Pēļņas/Zaudējumu aprēķins&amp;R&amp;"Times New Roman,Regular"&amp;14 2.pielikums</oddHeader>
    <oddFooter>&amp;C&amp;"Times New Roman,Regular"&amp;12&amp;F&amp;R&amp;"Times New Roman,Regular"&amp;12&amp;P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3">
    <tabColor theme="9" tint="0.79998168889431442"/>
    <pageSetUpPr fitToPage="1"/>
  </sheetPr>
  <dimension ref="A1:S72"/>
  <sheetViews>
    <sheetView topLeftCell="A4" zoomScale="70" zoomScaleNormal="70" workbookViewId="0">
      <selection activeCell="M54" sqref="M54"/>
    </sheetView>
  </sheetViews>
  <sheetFormatPr defaultRowHeight="18.75" x14ac:dyDescent="0.3"/>
  <cols>
    <col min="1" max="1" width="8.42578125" style="152" bestFit="1" customWidth="1"/>
    <col min="2" max="2" width="36.28515625" style="152" customWidth="1"/>
    <col min="3" max="3" width="17.7109375" style="12" customWidth="1"/>
    <col min="4" max="4" width="16.85546875" style="12" bestFit="1" customWidth="1"/>
    <col min="5" max="7" width="17.7109375" style="12" customWidth="1"/>
    <col min="8" max="9" width="17.7109375" style="90" customWidth="1"/>
    <col min="10" max="10" width="43.28515625" style="604" customWidth="1"/>
    <col min="11" max="12" width="17.7109375" style="90" customWidth="1"/>
    <col min="13" max="13" width="50.140625" style="604" customWidth="1"/>
    <col min="14" max="14" width="9.140625" style="12" customWidth="1"/>
    <col min="15" max="15" width="11.7109375" style="12" customWidth="1"/>
    <col min="16" max="16" width="59.7109375" style="12" customWidth="1"/>
    <col min="17" max="16384" width="9.140625" style="12"/>
  </cols>
  <sheetData>
    <row r="1" spans="1:13" s="152" customFormat="1" ht="132" customHeight="1" x14ac:dyDescent="0.3">
      <c r="A1" s="150" t="s">
        <v>0</v>
      </c>
      <c r="B1" s="151" t="s">
        <v>360</v>
      </c>
      <c r="C1" s="100" t="s">
        <v>713</v>
      </c>
      <c r="D1" s="100" t="s">
        <v>716</v>
      </c>
      <c r="E1" s="100" t="s">
        <v>813</v>
      </c>
      <c r="F1" s="100" t="s">
        <v>814</v>
      </c>
      <c r="G1" s="100" t="s">
        <v>817</v>
      </c>
      <c r="H1" s="101" t="s">
        <v>715</v>
      </c>
      <c r="I1" s="101" t="s">
        <v>718</v>
      </c>
      <c r="J1" s="100" t="s">
        <v>863</v>
      </c>
      <c r="K1" s="101" t="s">
        <v>721</v>
      </c>
      <c r="L1" s="101" t="s">
        <v>719</v>
      </c>
      <c r="M1" s="100" t="s">
        <v>863</v>
      </c>
    </row>
    <row r="2" spans="1:13" s="152" customFormat="1" x14ac:dyDescent="0.3">
      <c r="A2" s="153">
        <v>1</v>
      </c>
      <c r="B2" s="100">
        <v>2</v>
      </c>
      <c r="C2" s="100">
        <v>3</v>
      </c>
      <c r="D2" s="150">
        <v>4</v>
      </c>
      <c r="E2" s="100">
        <v>5</v>
      </c>
      <c r="F2" s="100">
        <v>6</v>
      </c>
      <c r="G2" s="100">
        <v>7</v>
      </c>
      <c r="H2" s="101">
        <v>8</v>
      </c>
      <c r="I2" s="103">
        <v>9</v>
      </c>
      <c r="J2" s="100">
        <v>10</v>
      </c>
      <c r="K2" s="104">
        <v>11</v>
      </c>
      <c r="L2" s="103">
        <v>12</v>
      </c>
      <c r="M2" s="100">
        <v>13</v>
      </c>
    </row>
    <row r="3" spans="1:13" s="152" customFormat="1" ht="124.5" customHeight="1" x14ac:dyDescent="0.3">
      <c r="A3" s="154">
        <v>45000</v>
      </c>
      <c r="B3" s="155" t="s">
        <v>361</v>
      </c>
      <c r="C3" s="156">
        <f>C4+C5+C6</f>
        <v>6831950</v>
      </c>
      <c r="D3" s="316">
        <f t="shared" ref="D3" si="0">D4+D5+D6</f>
        <v>7194213</v>
      </c>
      <c r="E3" s="156">
        <v>6831950</v>
      </c>
      <c r="F3" s="156">
        <v>7194213</v>
      </c>
      <c r="G3" s="156">
        <f>G4+G5+G6</f>
        <v>6264666</v>
      </c>
      <c r="H3" s="157">
        <f>G3-F3</f>
        <v>-929547</v>
      </c>
      <c r="I3" s="158">
        <f>IFERROR(H3/ABS(F3), "-")</f>
        <v>-0.12920760060898948</v>
      </c>
      <c r="J3" s="656" t="s">
        <v>864</v>
      </c>
      <c r="K3" s="157">
        <f>G3-E3</f>
        <v>-567284</v>
      </c>
      <c r="L3" s="158">
        <f>IFERROR(K3/ABS(E3), "-")</f>
        <v>-8.3033980049619802E-2</v>
      </c>
      <c r="M3" s="656" t="s">
        <v>867</v>
      </c>
    </row>
    <row r="4" spans="1:13" x14ac:dyDescent="0.3">
      <c r="A4" s="159">
        <v>45100</v>
      </c>
      <c r="B4" s="160" t="s">
        <v>362</v>
      </c>
      <c r="C4" s="161">
        <v>3947044</v>
      </c>
      <c r="D4" s="161">
        <v>3947044</v>
      </c>
      <c r="E4" s="161">
        <v>3947044</v>
      </c>
      <c r="F4" s="161">
        <v>3947044</v>
      </c>
      <c r="G4" s="161">
        <v>4044523</v>
      </c>
      <c r="H4" s="162">
        <f t="shared" ref="H4:H27" si="1">G4-F4</f>
        <v>97479</v>
      </c>
      <c r="I4" s="121">
        <f t="shared" ref="I4:I59" si="2">IFERROR(H4/ABS(F4), "-")</f>
        <v>2.4696709740251184E-2</v>
      </c>
      <c r="J4" s="600"/>
      <c r="K4" s="162">
        <f t="shared" ref="K4:K27" si="3">G4-E4</f>
        <v>97479</v>
      </c>
      <c r="L4" s="121">
        <f>IFERROR(K4/ABS(E4), "-")</f>
        <v>2.4696709740251184E-2</v>
      </c>
      <c r="M4" s="600"/>
    </row>
    <row r="5" spans="1:13" x14ac:dyDescent="0.3">
      <c r="A5" s="159">
        <v>45200</v>
      </c>
      <c r="B5" s="160" t="s">
        <v>363</v>
      </c>
      <c r="C5" s="161">
        <v>2258539</v>
      </c>
      <c r="D5" s="317">
        <v>2199699</v>
      </c>
      <c r="E5" s="161">
        <v>2258539</v>
      </c>
      <c r="F5" s="161">
        <v>2199699</v>
      </c>
      <c r="G5" s="161">
        <v>2199698</v>
      </c>
      <c r="H5" s="162">
        <f t="shared" si="1"/>
        <v>-1</v>
      </c>
      <c r="I5" s="121">
        <f t="shared" si="2"/>
        <v>-4.5460765313799752E-7</v>
      </c>
      <c r="J5" s="600"/>
      <c r="K5" s="162">
        <f t="shared" si="3"/>
        <v>-58841</v>
      </c>
      <c r="L5" s="121">
        <f t="shared" ref="L5:L59" si="4">IFERROR(K5/ABS(E5), "-")</f>
        <v>-2.6052682729853237E-2</v>
      </c>
      <c r="M5" s="600"/>
    </row>
    <row r="6" spans="1:13" s="152" customFormat="1" x14ac:dyDescent="0.3">
      <c r="A6" s="163">
        <v>45300</v>
      </c>
      <c r="B6" s="155" t="s">
        <v>364</v>
      </c>
      <c r="C6" s="164">
        <f>C7+C8</f>
        <v>626367</v>
      </c>
      <c r="D6" s="318">
        <f t="shared" ref="D6" si="5">D7+D8</f>
        <v>1047470</v>
      </c>
      <c r="E6" s="164">
        <v>626367</v>
      </c>
      <c r="F6" s="318">
        <v>1047470</v>
      </c>
      <c r="G6" s="164">
        <f>G7+G8</f>
        <v>20445</v>
      </c>
      <c r="H6" s="165">
        <f t="shared" si="1"/>
        <v>-1027025</v>
      </c>
      <c r="I6" s="166">
        <f t="shared" si="2"/>
        <v>-0.9804815412374579</v>
      </c>
      <c r="J6" s="600"/>
      <c r="K6" s="346">
        <f t="shared" si="3"/>
        <v>-605922</v>
      </c>
      <c r="L6" s="347">
        <f t="shared" si="4"/>
        <v>-0.96735939153882633</v>
      </c>
      <c r="M6" s="600"/>
    </row>
    <row r="7" spans="1:13" ht="56.25" x14ac:dyDescent="0.3">
      <c r="A7" s="159">
        <v>45310</v>
      </c>
      <c r="B7" s="160" t="s">
        <v>365</v>
      </c>
      <c r="C7" s="161">
        <v>-44207</v>
      </c>
      <c r="D7" s="317">
        <v>500998</v>
      </c>
      <c r="E7" s="161">
        <v>-44207</v>
      </c>
      <c r="F7" s="317">
        <v>500998</v>
      </c>
      <c r="G7" s="161">
        <v>626367</v>
      </c>
      <c r="H7" s="162">
        <f t="shared" si="1"/>
        <v>125369</v>
      </c>
      <c r="I7" s="121">
        <f t="shared" si="2"/>
        <v>0.25023852390628304</v>
      </c>
      <c r="J7" s="656" t="s">
        <v>865</v>
      </c>
      <c r="K7" s="162">
        <f t="shared" si="3"/>
        <v>670574</v>
      </c>
      <c r="L7" s="121">
        <f t="shared" si="4"/>
        <v>15.168955142850679</v>
      </c>
      <c r="M7" s="656" t="s">
        <v>793</v>
      </c>
    </row>
    <row r="8" spans="1:13" ht="134.25" customHeight="1" x14ac:dyDescent="0.3">
      <c r="A8" s="159">
        <v>45320</v>
      </c>
      <c r="B8" s="160" t="s">
        <v>366</v>
      </c>
      <c r="C8" s="161">
        <v>670574</v>
      </c>
      <c r="D8" s="317">
        <v>546472</v>
      </c>
      <c r="E8" s="161">
        <v>670574</v>
      </c>
      <c r="F8" s="317">
        <v>546472</v>
      </c>
      <c r="G8" s="161">
        <v>-605922</v>
      </c>
      <c r="H8" s="162">
        <f t="shared" si="1"/>
        <v>-1152394</v>
      </c>
      <c r="I8" s="121">
        <f t="shared" si="2"/>
        <v>-2.1087887394047637</v>
      </c>
      <c r="J8" s="656" t="s">
        <v>866</v>
      </c>
      <c r="K8" s="162">
        <f t="shared" si="3"/>
        <v>-1276496</v>
      </c>
      <c r="L8" s="121">
        <f t="shared" si="4"/>
        <v>-1.9035870761467042</v>
      </c>
      <c r="M8" s="657" t="s">
        <v>868</v>
      </c>
    </row>
    <row r="9" spans="1:13" ht="66.75" customHeight="1" x14ac:dyDescent="0.3">
      <c r="A9" s="154">
        <v>46000</v>
      </c>
      <c r="B9" s="167" t="s">
        <v>367</v>
      </c>
      <c r="C9" s="68">
        <v>128187</v>
      </c>
      <c r="D9" s="319">
        <v>148187</v>
      </c>
      <c r="E9" s="68">
        <v>128187</v>
      </c>
      <c r="F9" s="319">
        <v>148187</v>
      </c>
      <c r="G9" s="68">
        <v>186196</v>
      </c>
      <c r="H9" s="88">
        <f t="shared" si="1"/>
        <v>38009</v>
      </c>
      <c r="I9" s="168">
        <f t="shared" si="2"/>
        <v>0.25649348458366794</v>
      </c>
      <c r="J9" s="601"/>
      <c r="K9" s="88">
        <f t="shared" si="3"/>
        <v>58009</v>
      </c>
      <c r="L9" s="168">
        <f t="shared" si="4"/>
        <v>0.45253418833423048</v>
      </c>
      <c r="M9" s="601"/>
    </row>
    <row r="10" spans="1:13" s="152" customFormat="1" ht="19.5" x14ac:dyDescent="0.3">
      <c r="A10" s="154">
        <v>47000</v>
      </c>
      <c r="B10" s="167" t="s">
        <v>368</v>
      </c>
      <c r="C10" s="156">
        <f>C11+C18</f>
        <v>8038658</v>
      </c>
      <c r="D10" s="316">
        <f>D11+D18</f>
        <v>8081513</v>
      </c>
      <c r="E10" s="156">
        <v>8038658</v>
      </c>
      <c r="F10" s="316">
        <v>8081513</v>
      </c>
      <c r="G10" s="156">
        <f>G11+G18</f>
        <v>8105018</v>
      </c>
      <c r="H10" s="157">
        <f t="shared" si="1"/>
        <v>23505</v>
      </c>
      <c r="I10" s="158">
        <f t="shared" si="2"/>
        <v>2.9084900315077141E-3</v>
      </c>
      <c r="J10" s="602"/>
      <c r="K10" s="157">
        <f t="shared" si="3"/>
        <v>66360</v>
      </c>
      <c r="L10" s="158">
        <f t="shared" si="4"/>
        <v>8.2551092483347348E-3</v>
      </c>
      <c r="M10" s="602"/>
    </row>
    <row r="11" spans="1:13" s="152" customFormat="1" ht="19.5" x14ac:dyDescent="0.3">
      <c r="A11" s="154">
        <v>47100</v>
      </c>
      <c r="B11" s="167" t="s">
        <v>369</v>
      </c>
      <c r="C11" s="156">
        <f>C15+C16</f>
        <v>6124227</v>
      </c>
      <c r="D11" s="316">
        <f t="shared" ref="D11" si="6">SUM(D12:D17)</f>
        <v>6297141</v>
      </c>
      <c r="E11" s="156">
        <v>6124227</v>
      </c>
      <c r="F11" s="316">
        <v>6297141</v>
      </c>
      <c r="G11" s="156">
        <f>G15+G16</f>
        <v>5930401</v>
      </c>
      <c r="H11" s="157">
        <f t="shared" si="1"/>
        <v>-366740</v>
      </c>
      <c r="I11" s="158">
        <f t="shared" si="2"/>
        <v>-5.8239127883590348E-2</v>
      </c>
      <c r="J11" s="766"/>
      <c r="K11" s="157">
        <f t="shared" si="3"/>
        <v>-193826</v>
      </c>
      <c r="L11" s="158">
        <f t="shared" si="4"/>
        <v>-3.1649055464469229E-2</v>
      </c>
      <c r="M11" s="769" t="s">
        <v>869</v>
      </c>
    </row>
    <row r="12" spans="1:13" x14ac:dyDescent="0.3">
      <c r="A12" s="159">
        <v>47110</v>
      </c>
      <c r="B12" s="160" t="s">
        <v>370</v>
      </c>
      <c r="C12" s="69"/>
      <c r="D12" s="320"/>
      <c r="E12" s="69"/>
      <c r="F12" s="320"/>
      <c r="G12" s="69"/>
      <c r="H12" s="89">
        <f t="shared" si="1"/>
        <v>0</v>
      </c>
      <c r="I12" s="169" t="str">
        <f t="shared" si="2"/>
        <v>-</v>
      </c>
      <c r="J12" s="767"/>
      <c r="K12" s="89">
        <f t="shared" si="3"/>
        <v>0</v>
      </c>
      <c r="L12" s="169" t="str">
        <f t="shared" si="4"/>
        <v>-</v>
      </c>
      <c r="M12" s="770"/>
    </row>
    <row r="13" spans="1:13" ht="37.5" x14ac:dyDescent="0.3">
      <c r="A13" s="159">
        <v>47120</v>
      </c>
      <c r="B13" s="160" t="s">
        <v>371</v>
      </c>
      <c r="C13" s="69"/>
      <c r="D13" s="320"/>
      <c r="E13" s="69"/>
      <c r="F13" s="320"/>
      <c r="G13" s="69"/>
      <c r="H13" s="89">
        <f t="shared" si="1"/>
        <v>0</v>
      </c>
      <c r="I13" s="169" t="str">
        <f t="shared" si="2"/>
        <v>-</v>
      </c>
      <c r="J13" s="767"/>
      <c r="K13" s="89">
        <f t="shared" si="3"/>
        <v>0</v>
      </c>
      <c r="L13" s="169" t="str">
        <f t="shared" si="4"/>
        <v>-</v>
      </c>
      <c r="M13" s="770"/>
    </row>
    <row r="14" spans="1:13" x14ac:dyDescent="0.3">
      <c r="A14" s="159">
        <v>47130</v>
      </c>
      <c r="B14" s="160" t="s">
        <v>372</v>
      </c>
      <c r="C14" s="69"/>
      <c r="D14" s="320"/>
      <c r="E14" s="69"/>
      <c r="F14" s="320"/>
      <c r="G14" s="69"/>
      <c r="H14" s="89">
        <f t="shared" si="1"/>
        <v>0</v>
      </c>
      <c r="I14" s="169" t="str">
        <f t="shared" si="2"/>
        <v>-</v>
      </c>
      <c r="J14" s="767"/>
      <c r="K14" s="89">
        <f t="shared" si="3"/>
        <v>0</v>
      </c>
      <c r="L14" s="169" t="str">
        <f t="shared" si="4"/>
        <v>-</v>
      </c>
      <c r="M14" s="770"/>
    </row>
    <row r="15" spans="1:13" ht="37.5" x14ac:dyDescent="0.3">
      <c r="A15" s="159">
        <v>47131</v>
      </c>
      <c r="B15" s="160" t="s">
        <v>377</v>
      </c>
      <c r="C15" s="69">
        <v>48669</v>
      </c>
      <c r="D15" s="320"/>
      <c r="E15" s="69">
        <v>48669</v>
      </c>
      <c r="F15" s="320"/>
      <c r="G15" s="69">
        <v>73913</v>
      </c>
      <c r="H15" s="89">
        <f t="shared" si="1"/>
        <v>73913</v>
      </c>
      <c r="I15" s="169" t="str">
        <f t="shared" si="2"/>
        <v>-</v>
      </c>
      <c r="J15" s="767"/>
      <c r="K15" s="89">
        <f t="shared" si="3"/>
        <v>25244</v>
      </c>
      <c r="L15" s="169">
        <f t="shared" si="4"/>
        <v>0.5186874601902649</v>
      </c>
      <c r="M15" s="770"/>
    </row>
    <row r="16" spans="1:13" x14ac:dyDescent="0.3">
      <c r="A16" s="159">
        <v>47140</v>
      </c>
      <c r="B16" s="160" t="s">
        <v>373</v>
      </c>
      <c r="C16" s="161">
        <v>6075558</v>
      </c>
      <c r="D16" s="320">
        <v>6297141</v>
      </c>
      <c r="E16" s="69">
        <v>6075558</v>
      </c>
      <c r="F16" s="161">
        <v>6297141</v>
      </c>
      <c r="G16" s="161">
        <v>5856488</v>
      </c>
      <c r="H16" s="89">
        <f t="shared" si="1"/>
        <v>-440653</v>
      </c>
      <c r="I16" s="169">
        <f t="shared" si="2"/>
        <v>-6.9976676717259462E-2</v>
      </c>
      <c r="J16" s="767"/>
      <c r="K16" s="89">
        <f t="shared" si="3"/>
        <v>-219070</v>
      </c>
      <c r="L16" s="169">
        <f t="shared" si="4"/>
        <v>-3.6057593393067765E-2</v>
      </c>
      <c r="M16" s="770"/>
    </row>
    <row r="17" spans="1:19" x14ac:dyDescent="0.3">
      <c r="A17" s="159">
        <v>47150</v>
      </c>
      <c r="B17" s="160" t="s">
        <v>374</v>
      </c>
      <c r="C17" s="69"/>
      <c r="D17" s="320"/>
      <c r="E17" s="69"/>
      <c r="F17" s="320"/>
      <c r="G17" s="69"/>
      <c r="H17" s="89">
        <f t="shared" si="1"/>
        <v>0</v>
      </c>
      <c r="I17" s="169" t="str">
        <f t="shared" si="2"/>
        <v>-</v>
      </c>
      <c r="J17" s="768"/>
      <c r="K17" s="89">
        <f t="shared" si="3"/>
        <v>0</v>
      </c>
      <c r="L17" s="169" t="str">
        <f t="shared" si="4"/>
        <v>-</v>
      </c>
      <c r="M17" s="771"/>
      <c r="O17" s="249"/>
    </row>
    <row r="18" spans="1:19" s="152" customFormat="1" ht="18.75" customHeight="1" x14ac:dyDescent="0.3">
      <c r="A18" s="154">
        <v>47200</v>
      </c>
      <c r="B18" s="167" t="s">
        <v>375</v>
      </c>
      <c r="C18" s="156">
        <f t="shared" ref="C18:D18" si="7">SUM(C19:C26)</f>
        <v>1914431</v>
      </c>
      <c r="D18" s="316">
        <f t="shared" si="7"/>
        <v>1784372</v>
      </c>
      <c r="E18" s="156">
        <v>1914431</v>
      </c>
      <c r="F18" s="316">
        <v>1784372</v>
      </c>
      <c r="G18" s="156">
        <f>G21+G22+G23+G24+G25+G26</f>
        <v>2174617</v>
      </c>
      <c r="H18" s="157">
        <f t="shared" si="1"/>
        <v>390245</v>
      </c>
      <c r="I18" s="158">
        <f t="shared" si="2"/>
        <v>0.21870159361388769</v>
      </c>
      <c r="J18" s="769" t="s">
        <v>870</v>
      </c>
      <c r="K18" s="157">
        <f t="shared" si="3"/>
        <v>260186</v>
      </c>
      <c r="L18" s="158">
        <f t="shared" si="4"/>
        <v>0.13590774491219584</v>
      </c>
      <c r="M18" s="769" t="s">
        <v>871</v>
      </c>
    </row>
    <row r="19" spans="1:19" x14ac:dyDescent="0.3">
      <c r="A19" s="159">
        <v>47210</v>
      </c>
      <c r="B19" s="160" t="s">
        <v>370</v>
      </c>
      <c r="C19" s="161"/>
      <c r="D19" s="317"/>
      <c r="E19" s="161"/>
      <c r="F19" s="317"/>
      <c r="G19" s="161"/>
      <c r="H19" s="162">
        <f t="shared" si="1"/>
        <v>0</v>
      </c>
      <c r="I19" s="121" t="str">
        <f t="shared" si="2"/>
        <v>-</v>
      </c>
      <c r="J19" s="770"/>
      <c r="K19" s="162">
        <f t="shared" si="3"/>
        <v>0</v>
      </c>
      <c r="L19" s="121" t="str">
        <f t="shared" si="4"/>
        <v>-</v>
      </c>
      <c r="M19" s="770"/>
    </row>
    <row r="20" spans="1:19" x14ac:dyDescent="0.3">
      <c r="A20" s="159">
        <v>47220</v>
      </c>
      <c r="B20" s="160" t="s">
        <v>372</v>
      </c>
      <c r="C20" s="161"/>
      <c r="D20" s="317"/>
      <c r="E20" s="161"/>
      <c r="F20" s="317"/>
      <c r="G20" s="161"/>
      <c r="H20" s="162">
        <f t="shared" si="1"/>
        <v>0</v>
      </c>
      <c r="I20" s="121" t="str">
        <f t="shared" si="2"/>
        <v>-</v>
      </c>
      <c r="J20" s="770"/>
      <c r="K20" s="556">
        <f t="shared" si="3"/>
        <v>0</v>
      </c>
      <c r="L20" s="121" t="str">
        <f t="shared" si="4"/>
        <v>-</v>
      </c>
      <c r="M20" s="770"/>
    </row>
    <row r="21" spans="1:19" x14ac:dyDescent="0.3">
      <c r="A21" s="159">
        <v>47230</v>
      </c>
      <c r="B21" s="160" t="s">
        <v>376</v>
      </c>
      <c r="C21" s="161">
        <v>10822</v>
      </c>
      <c r="D21" s="161">
        <v>20946</v>
      </c>
      <c r="E21" s="161">
        <v>10822</v>
      </c>
      <c r="F21" s="161">
        <v>20946</v>
      </c>
      <c r="G21" s="579">
        <v>6010</v>
      </c>
      <c r="H21" s="162">
        <f t="shared" si="1"/>
        <v>-14936</v>
      </c>
      <c r="I21" s="121">
        <f t="shared" si="2"/>
        <v>-0.71307170820204335</v>
      </c>
      <c r="J21" s="770"/>
      <c r="K21" s="556">
        <f t="shared" si="3"/>
        <v>-4812</v>
      </c>
      <c r="L21" s="121">
        <f t="shared" si="4"/>
        <v>-0.44464978746996858</v>
      </c>
      <c r="M21" s="770"/>
      <c r="S21" s="170"/>
    </row>
    <row r="22" spans="1:19" ht="37.5" x14ac:dyDescent="0.3">
      <c r="A22" s="159">
        <v>47240</v>
      </c>
      <c r="B22" s="160" t="s">
        <v>377</v>
      </c>
      <c r="C22" s="161">
        <v>121034</v>
      </c>
      <c r="D22" s="161">
        <v>180000</v>
      </c>
      <c r="E22" s="161">
        <v>121034</v>
      </c>
      <c r="F22" s="161">
        <v>180000</v>
      </c>
      <c r="G22" s="161">
        <f>645283-73913</f>
        <v>571370</v>
      </c>
      <c r="H22" s="162">
        <f t="shared" si="1"/>
        <v>391370</v>
      </c>
      <c r="I22" s="121">
        <f t="shared" si="2"/>
        <v>2.1742777777777778</v>
      </c>
      <c r="J22" s="770"/>
      <c r="K22" s="556">
        <f t="shared" si="3"/>
        <v>450336</v>
      </c>
      <c r="L22" s="121">
        <f t="shared" si="4"/>
        <v>3.7207396268817026</v>
      </c>
      <c r="M22" s="770"/>
    </row>
    <row r="23" spans="1:19" ht="37.5" x14ac:dyDescent="0.3">
      <c r="A23" s="159">
        <v>47250</v>
      </c>
      <c r="B23" s="160" t="s">
        <v>378</v>
      </c>
      <c r="C23" s="161">
        <v>708437</v>
      </c>
      <c r="D23" s="161">
        <v>708207</v>
      </c>
      <c r="E23" s="161">
        <v>708437</v>
      </c>
      <c r="F23" s="161">
        <v>708207</v>
      </c>
      <c r="G23" s="161">
        <v>530815</v>
      </c>
      <c r="H23" s="162" t="s">
        <v>680</v>
      </c>
      <c r="I23" s="121" t="str">
        <f t="shared" si="2"/>
        <v>-</v>
      </c>
      <c r="J23" s="770"/>
      <c r="K23" s="556">
        <f t="shared" si="3"/>
        <v>-177622</v>
      </c>
      <c r="L23" s="121">
        <f t="shared" si="4"/>
        <v>-0.25072377642613247</v>
      </c>
      <c r="M23" s="770"/>
    </row>
    <row r="24" spans="1:19" x14ac:dyDescent="0.3">
      <c r="A24" s="159">
        <v>47260</v>
      </c>
      <c r="B24" s="160" t="s">
        <v>379</v>
      </c>
      <c r="C24" s="161">
        <v>95432</v>
      </c>
      <c r="D24" s="161">
        <v>95432</v>
      </c>
      <c r="E24" s="161">
        <v>95432</v>
      </c>
      <c r="F24" s="161">
        <v>95432</v>
      </c>
      <c r="G24" s="161">
        <v>86342</v>
      </c>
      <c r="H24" s="162">
        <f t="shared" si="1"/>
        <v>-9090</v>
      </c>
      <c r="I24" s="121">
        <f t="shared" si="2"/>
        <v>-9.5251068823874588E-2</v>
      </c>
      <c r="J24" s="770"/>
      <c r="K24" s="556">
        <f t="shared" si="3"/>
        <v>-9090</v>
      </c>
      <c r="L24" s="121">
        <f t="shared" si="4"/>
        <v>-9.5251068823874588E-2</v>
      </c>
      <c r="M24" s="770"/>
    </row>
    <row r="25" spans="1:19" x14ac:dyDescent="0.3">
      <c r="A25" s="159">
        <v>47280</v>
      </c>
      <c r="B25" s="160" t="s">
        <v>373</v>
      </c>
      <c r="C25" s="161">
        <v>198681</v>
      </c>
      <c r="D25" s="317">
        <v>0</v>
      </c>
      <c r="E25" s="161">
        <v>198681</v>
      </c>
      <c r="F25" s="317">
        <v>0</v>
      </c>
      <c r="G25" s="161">
        <v>259277</v>
      </c>
      <c r="H25" s="162">
        <f t="shared" si="1"/>
        <v>259277</v>
      </c>
      <c r="I25" s="121" t="str">
        <f t="shared" si="2"/>
        <v>-</v>
      </c>
      <c r="J25" s="770"/>
      <c r="K25" s="556">
        <f t="shared" si="3"/>
        <v>60596</v>
      </c>
      <c r="L25" s="121">
        <f t="shared" si="4"/>
        <v>0.30499141840437688</v>
      </c>
      <c r="M25" s="770"/>
    </row>
    <row r="26" spans="1:19" ht="41.25" customHeight="1" x14ac:dyDescent="0.3">
      <c r="A26" s="159">
        <v>47290</v>
      </c>
      <c r="B26" s="160" t="s">
        <v>380</v>
      </c>
      <c r="C26" s="161">
        <v>780025</v>
      </c>
      <c r="D26" s="317">
        <v>779787</v>
      </c>
      <c r="E26" s="161">
        <v>780025</v>
      </c>
      <c r="F26" s="317">
        <v>779787</v>
      </c>
      <c r="G26" s="161">
        <f>706770+14033</f>
        <v>720803</v>
      </c>
      <c r="H26" s="162">
        <f t="shared" si="1"/>
        <v>-58984</v>
      </c>
      <c r="I26" s="121">
        <f t="shared" si="2"/>
        <v>-7.564116867811338E-2</v>
      </c>
      <c r="J26" s="771"/>
      <c r="K26" s="556">
        <f t="shared" si="3"/>
        <v>-59222</v>
      </c>
      <c r="L26" s="121">
        <f t="shared" si="4"/>
        <v>-7.592320758950033E-2</v>
      </c>
      <c r="M26" s="771"/>
    </row>
    <row r="27" spans="1:19" s="152" customFormat="1" ht="37.5" x14ac:dyDescent="0.3">
      <c r="A27" s="154">
        <v>48000</v>
      </c>
      <c r="B27" s="167" t="s">
        <v>381</v>
      </c>
      <c r="C27" s="156">
        <f t="shared" ref="C27:D27" si="8">C10+C9+C3</f>
        <v>14998795</v>
      </c>
      <c r="D27" s="316">
        <f t="shared" si="8"/>
        <v>15423913</v>
      </c>
      <c r="E27" s="156">
        <v>14998795</v>
      </c>
      <c r="F27" s="316">
        <v>15423913</v>
      </c>
      <c r="G27" s="156">
        <f>G3+G9+G10</f>
        <v>14555880</v>
      </c>
      <c r="H27" s="157">
        <f t="shared" si="1"/>
        <v>-868033</v>
      </c>
      <c r="I27" s="158">
        <f t="shared" si="2"/>
        <v>-5.6278390574428162E-2</v>
      </c>
      <c r="J27" s="602"/>
      <c r="K27" s="157">
        <f t="shared" si="3"/>
        <v>-442915</v>
      </c>
      <c r="L27" s="158">
        <f t="shared" si="4"/>
        <v>-2.9530038913126021E-2</v>
      </c>
      <c r="M27" s="602"/>
    </row>
    <row r="28" spans="1:19" x14ac:dyDescent="0.3">
      <c r="A28" s="772"/>
      <c r="B28" s="773"/>
      <c r="C28" s="773"/>
      <c r="D28" s="773"/>
      <c r="E28" s="773"/>
      <c r="F28" s="773"/>
      <c r="G28" s="773"/>
      <c r="H28" s="773"/>
      <c r="I28" s="773"/>
      <c r="J28" s="773"/>
      <c r="K28" s="773"/>
      <c r="L28" s="773"/>
      <c r="M28" s="773"/>
    </row>
    <row r="29" spans="1:19" s="152" customFormat="1" ht="19.5" x14ac:dyDescent="0.3">
      <c r="A29" s="154">
        <v>49000</v>
      </c>
      <c r="B29" s="167" t="s">
        <v>382</v>
      </c>
      <c r="C29" s="156">
        <f t="shared" ref="C29:D29" si="9">C30+C33+C40</f>
        <v>11932762</v>
      </c>
      <c r="D29" s="316">
        <f t="shared" si="9"/>
        <v>12044084</v>
      </c>
      <c r="E29" s="156">
        <v>11932762</v>
      </c>
      <c r="F29" s="316">
        <f>F30+F33+F40</f>
        <v>12044084</v>
      </c>
      <c r="G29" s="156">
        <f>G30+G33</f>
        <v>12622570</v>
      </c>
      <c r="H29" s="157">
        <f t="shared" ref="H29:H55" si="10">G29-F29</f>
        <v>578486</v>
      </c>
      <c r="I29" s="158">
        <f t="shared" si="2"/>
        <v>4.8030717819636595E-2</v>
      </c>
      <c r="J29" s="602"/>
      <c r="K29" s="157">
        <f t="shared" ref="K29:K55" si="11">G29-E29</f>
        <v>689808</v>
      </c>
      <c r="L29" s="158">
        <f t="shared" si="4"/>
        <v>5.7807907339474295E-2</v>
      </c>
      <c r="M29" s="602"/>
    </row>
    <row r="30" spans="1:19" s="152" customFormat="1" ht="19.5" x14ac:dyDescent="0.3">
      <c r="A30" s="154">
        <v>49100</v>
      </c>
      <c r="B30" s="167" t="s">
        <v>383</v>
      </c>
      <c r="C30" s="156">
        <f t="shared" ref="C30" si="12">C31+C32</f>
        <v>31247</v>
      </c>
      <c r="D30" s="316">
        <f>D31</f>
        <v>0</v>
      </c>
      <c r="E30" s="316">
        <v>31247</v>
      </c>
      <c r="F30" s="316">
        <v>0</v>
      </c>
      <c r="G30" s="156">
        <f>G31</f>
        <v>54611</v>
      </c>
      <c r="H30" s="157">
        <f t="shared" si="10"/>
        <v>54611</v>
      </c>
      <c r="I30" s="158" t="str">
        <f t="shared" si="2"/>
        <v>-</v>
      </c>
      <c r="J30" s="769" t="s">
        <v>872</v>
      </c>
      <c r="K30" s="157">
        <f t="shared" si="11"/>
        <v>23364</v>
      </c>
      <c r="L30" s="158">
        <f t="shared" si="4"/>
        <v>0.74771978109898551</v>
      </c>
      <c r="M30" s="769" t="s">
        <v>873</v>
      </c>
    </row>
    <row r="31" spans="1:19" x14ac:dyDescent="0.3">
      <c r="A31" s="159">
        <v>49110</v>
      </c>
      <c r="B31" s="160" t="s">
        <v>384</v>
      </c>
      <c r="C31" s="69">
        <v>31247</v>
      </c>
      <c r="D31" s="320"/>
      <c r="E31" s="69">
        <v>31247</v>
      </c>
      <c r="F31" s="320"/>
      <c r="G31" s="69">
        <v>54611</v>
      </c>
      <c r="H31" s="89">
        <f t="shared" si="10"/>
        <v>54611</v>
      </c>
      <c r="I31" s="169" t="str">
        <f t="shared" si="2"/>
        <v>-</v>
      </c>
      <c r="J31" s="770"/>
      <c r="K31" s="89">
        <f t="shared" si="11"/>
        <v>23364</v>
      </c>
      <c r="L31" s="169">
        <f t="shared" si="4"/>
        <v>0.74771978109898551</v>
      </c>
      <c r="M31" s="770"/>
    </row>
    <row r="32" spans="1:19" ht="147.75" customHeight="1" x14ac:dyDescent="0.3">
      <c r="A32" s="159">
        <v>49120</v>
      </c>
      <c r="B32" s="160" t="s">
        <v>385</v>
      </c>
      <c r="C32" s="69"/>
      <c r="D32" s="320"/>
      <c r="E32" s="69"/>
      <c r="F32" s="320"/>
      <c r="G32" s="69"/>
      <c r="H32" s="89">
        <f t="shared" si="10"/>
        <v>0</v>
      </c>
      <c r="I32" s="169" t="str">
        <f t="shared" si="2"/>
        <v>-</v>
      </c>
      <c r="J32" s="771"/>
      <c r="K32" s="89">
        <f t="shared" si="11"/>
        <v>0</v>
      </c>
      <c r="L32" s="169" t="str">
        <f t="shared" si="4"/>
        <v>-</v>
      </c>
      <c r="M32" s="771"/>
    </row>
    <row r="33" spans="1:13" s="152" customFormat="1" ht="19.5" x14ac:dyDescent="0.3">
      <c r="A33" s="154">
        <v>49200</v>
      </c>
      <c r="B33" s="167" t="s">
        <v>386</v>
      </c>
      <c r="C33" s="156">
        <f t="shared" ref="C33" si="13">SUM(C34:C39)</f>
        <v>11901515</v>
      </c>
      <c r="D33" s="316">
        <f t="shared" ref="D33" si="14">SUM(D34:D39)</f>
        <v>12044084</v>
      </c>
      <c r="E33" s="156">
        <v>11901515</v>
      </c>
      <c r="F33" s="316">
        <v>12044084</v>
      </c>
      <c r="G33" s="156">
        <f>G34+G35+G36+G37+G38+G39</f>
        <v>12567959</v>
      </c>
      <c r="H33" s="157">
        <f t="shared" si="10"/>
        <v>523875</v>
      </c>
      <c r="I33" s="158">
        <f t="shared" si="2"/>
        <v>4.3496458510252835E-2</v>
      </c>
      <c r="J33" s="769" t="s">
        <v>874</v>
      </c>
      <c r="K33" s="157">
        <f t="shared" si="11"/>
        <v>666444</v>
      </c>
      <c r="L33" s="158">
        <f t="shared" si="4"/>
        <v>5.5996568504093805E-2</v>
      </c>
      <c r="M33" s="769" t="s">
        <v>875</v>
      </c>
    </row>
    <row r="34" spans="1:13" ht="37.5" x14ac:dyDescent="0.3">
      <c r="A34" s="159">
        <v>49210</v>
      </c>
      <c r="B34" s="160" t="s">
        <v>387</v>
      </c>
      <c r="C34" s="69">
        <v>7604521</v>
      </c>
      <c r="D34" s="69">
        <v>8217706</v>
      </c>
      <c r="E34" s="69">
        <v>7604521</v>
      </c>
      <c r="F34" s="69">
        <v>8217706</v>
      </c>
      <c r="G34" s="69">
        <v>9079597</v>
      </c>
      <c r="H34" s="89">
        <f t="shared" si="10"/>
        <v>861891</v>
      </c>
      <c r="I34" s="169">
        <f t="shared" si="2"/>
        <v>0.10488218974979149</v>
      </c>
      <c r="J34" s="770"/>
      <c r="K34" s="89">
        <f t="shared" si="11"/>
        <v>1475076</v>
      </c>
      <c r="L34" s="169">
        <f t="shared" si="4"/>
        <v>0.1939735586238765</v>
      </c>
      <c r="M34" s="770"/>
    </row>
    <row r="35" spans="1:13" x14ac:dyDescent="0.3">
      <c r="A35" s="159">
        <v>49220</v>
      </c>
      <c r="B35" s="160" t="s">
        <v>388</v>
      </c>
      <c r="C35" s="69">
        <v>2000925</v>
      </c>
      <c r="D35" s="69">
        <v>2141910</v>
      </c>
      <c r="E35" s="69">
        <v>2000925</v>
      </c>
      <c r="F35" s="69">
        <v>2141910</v>
      </c>
      <c r="G35" s="69">
        <v>2062147</v>
      </c>
      <c r="H35" s="89">
        <f t="shared" si="10"/>
        <v>-79763</v>
      </c>
      <c r="I35" s="169">
        <f t="shared" si="2"/>
        <v>-3.7239193056664378E-2</v>
      </c>
      <c r="J35" s="770"/>
      <c r="K35" s="89">
        <f t="shared" si="11"/>
        <v>61222</v>
      </c>
      <c r="L35" s="169">
        <f t="shared" si="4"/>
        <v>3.0596848957357221E-2</v>
      </c>
      <c r="M35" s="770"/>
    </row>
    <row r="36" spans="1:13" ht="37.5" x14ac:dyDescent="0.3">
      <c r="A36" s="159">
        <v>49230</v>
      </c>
      <c r="B36" s="160" t="s">
        <v>389</v>
      </c>
      <c r="C36" s="69">
        <v>757468</v>
      </c>
      <c r="D36" s="69">
        <v>757468</v>
      </c>
      <c r="E36" s="161">
        <v>757468</v>
      </c>
      <c r="F36" s="69">
        <v>757468</v>
      </c>
      <c r="G36" s="69">
        <v>1209931</v>
      </c>
      <c r="H36" s="89">
        <f t="shared" si="10"/>
        <v>452463</v>
      </c>
      <c r="I36" s="169">
        <f t="shared" si="2"/>
        <v>0.59733612509043288</v>
      </c>
      <c r="J36" s="770"/>
      <c r="K36" s="89">
        <f t="shared" si="11"/>
        <v>452463</v>
      </c>
      <c r="L36" s="169">
        <f t="shared" si="4"/>
        <v>0.59733612509043288</v>
      </c>
      <c r="M36" s="770"/>
    </row>
    <row r="37" spans="1:13" ht="37.5" x14ac:dyDescent="0.3">
      <c r="A37" s="159">
        <v>49240</v>
      </c>
      <c r="B37" s="160" t="s">
        <v>390</v>
      </c>
      <c r="C37" s="69">
        <v>1493056</v>
      </c>
      <c r="D37" s="69">
        <v>927000</v>
      </c>
      <c r="E37" s="69">
        <v>1493056</v>
      </c>
      <c r="F37" s="69">
        <v>927000</v>
      </c>
      <c r="G37" s="69">
        <v>216284</v>
      </c>
      <c r="H37" s="89">
        <f t="shared" si="10"/>
        <v>-710716</v>
      </c>
      <c r="I37" s="169">
        <f t="shared" si="2"/>
        <v>-0.76668392664509166</v>
      </c>
      <c r="J37" s="770"/>
      <c r="K37" s="89">
        <f t="shared" si="11"/>
        <v>-1276772</v>
      </c>
      <c r="L37" s="169">
        <f t="shared" si="4"/>
        <v>-0.85514006172574908</v>
      </c>
      <c r="M37" s="770"/>
    </row>
    <row r="38" spans="1:13" ht="37.5" x14ac:dyDescent="0.3">
      <c r="A38" s="159">
        <v>49250</v>
      </c>
      <c r="B38" s="160" t="s">
        <v>391</v>
      </c>
      <c r="C38" s="69">
        <v>45545</v>
      </c>
      <c r="D38" s="320"/>
      <c r="E38" s="69">
        <v>45545</v>
      </c>
      <c r="F38" s="320"/>
      <c r="G38" s="69"/>
      <c r="H38" s="89">
        <f t="shared" si="10"/>
        <v>0</v>
      </c>
      <c r="I38" s="169" t="str">
        <f t="shared" si="2"/>
        <v>-</v>
      </c>
      <c r="J38" s="770"/>
      <c r="K38" s="89">
        <f t="shared" si="11"/>
        <v>-45545</v>
      </c>
      <c r="L38" s="169">
        <f t="shared" si="4"/>
        <v>-1</v>
      </c>
      <c r="M38" s="770"/>
    </row>
    <row r="39" spans="1:13" ht="169.5" customHeight="1" x14ac:dyDescent="0.3">
      <c r="A39" s="159">
        <v>49260</v>
      </c>
      <c r="B39" s="160" t="s">
        <v>392</v>
      </c>
      <c r="C39" s="69"/>
      <c r="D39" s="320"/>
      <c r="E39" s="69"/>
      <c r="F39" s="320"/>
      <c r="G39" s="69"/>
      <c r="H39" s="89">
        <f t="shared" si="10"/>
        <v>0</v>
      </c>
      <c r="I39" s="169" t="str">
        <f t="shared" si="2"/>
        <v>-</v>
      </c>
      <c r="J39" s="771"/>
      <c r="K39" s="89">
        <f t="shared" si="11"/>
        <v>0</v>
      </c>
      <c r="L39" s="169" t="str">
        <f t="shared" si="4"/>
        <v>-</v>
      </c>
      <c r="M39" s="771"/>
    </row>
    <row r="40" spans="1:13" s="152" customFormat="1" ht="37.5" x14ac:dyDescent="0.3">
      <c r="A40" s="154">
        <v>49300</v>
      </c>
      <c r="B40" s="167" t="s">
        <v>393</v>
      </c>
      <c r="C40" s="156">
        <f t="shared" ref="C40:D40" si="15">C41+C42</f>
        <v>0</v>
      </c>
      <c r="D40" s="316">
        <f t="shared" si="15"/>
        <v>0</v>
      </c>
      <c r="E40" s="156">
        <v>0</v>
      </c>
      <c r="F40" s="316">
        <v>0</v>
      </c>
      <c r="G40" s="156">
        <v>0</v>
      </c>
      <c r="H40" s="157">
        <f t="shared" si="10"/>
        <v>0</v>
      </c>
      <c r="I40" s="158" t="str">
        <f t="shared" si="2"/>
        <v>-</v>
      </c>
      <c r="J40" s="774"/>
      <c r="K40" s="157">
        <f t="shared" si="11"/>
        <v>0</v>
      </c>
      <c r="L40" s="158" t="str">
        <f t="shared" si="4"/>
        <v>-</v>
      </c>
      <c r="M40" s="774"/>
    </row>
    <row r="41" spans="1:13" ht="37.5" x14ac:dyDescent="0.3">
      <c r="A41" s="171">
        <v>49310</v>
      </c>
      <c r="B41" s="160" t="s">
        <v>394</v>
      </c>
      <c r="C41" s="69"/>
      <c r="D41" s="320"/>
      <c r="E41" s="69"/>
      <c r="F41" s="320"/>
      <c r="G41" s="69"/>
      <c r="H41" s="89">
        <f t="shared" si="10"/>
        <v>0</v>
      </c>
      <c r="I41" s="169" t="str">
        <f t="shared" si="2"/>
        <v>-</v>
      </c>
      <c r="J41" s="775"/>
      <c r="K41" s="89">
        <f t="shared" si="11"/>
        <v>0</v>
      </c>
      <c r="L41" s="169" t="str">
        <f t="shared" si="4"/>
        <v>-</v>
      </c>
      <c r="M41" s="775"/>
    </row>
    <row r="42" spans="1:13" ht="37.5" x14ac:dyDescent="0.3">
      <c r="A42" s="171">
        <v>49320</v>
      </c>
      <c r="B42" s="160" t="s">
        <v>395</v>
      </c>
      <c r="C42" s="69"/>
      <c r="D42" s="320"/>
      <c r="E42" s="69"/>
      <c r="F42" s="320"/>
      <c r="G42" s="69"/>
      <c r="H42" s="89">
        <f t="shared" si="10"/>
        <v>0</v>
      </c>
      <c r="I42" s="169" t="str">
        <f t="shared" si="2"/>
        <v>-</v>
      </c>
      <c r="J42" s="776"/>
      <c r="K42" s="89">
        <f t="shared" si="11"/>
        <v>0</v>
      </c>
      <c r="L42" s="169" t="str">
        <f t="shared" si="4"/>
        <v>-</v>
      </c>
      <c r="M42" s="776"/>
    </row>
    <row r="43" spans="1:13" s="152" customFormat="1" ht="48" customHeight="1" x14ac:dyDescent="0.3">
      <c r="A43" s="154">
        <v>50000</v>
      </c>
      <c r="B43" s="167" t="s">
        <v>396</v>
      </c>
      <c r="C43" s="156">
        <f t="shared" ref="C43:D43" si="16">C44+C48+C54</f>
        <v>3066033</v>
      </c>
      <c r="D43" s="316">
        <f t="shared" si="16"/>
        <v>3379829</v>
      </c>
      <c r="E43" s="156">
        <v>3066033</v>
      </c>
      <c r="F43" s="316">
        <v>3379829</v>
      </c>
      <c r="G43" s="156">
        <f>G44+G48+G54</f>
        <v>1933310</v>
      </c>
      <c r="H43" s="157">
        <f t="shared" si="10"/>
        <v>-1446519</v>
      </c>
      <c r="I43" s="158">
        <f t="shared" si="2"/>
        <v>-0.42798585372218534</v>
      </c>
      <c r="J43" s="602"/>
      <c r="K43" s="157">
        <f t="shared" si="11"/>
        <v>-1132723</v>
      </c>
      <c r="L43" s="158">
        <f t="shared" si="4"/>
        <v>-0.36944253372354441</v>
      </c>
      <c r="M43" s="602"/>
    </row>
    <row r="44" spans="1:13" s="152" customFormat="1" ht="19.5" x14ac:dyDescent="0.3">
      <c r="A44" s="154">
        <v>50100</v>
      </c>
      <c r="B44" s="167" t="s">
        <v>397</v>
      </c>
      <c r="C44" s="156">
        <f t="shared" ref="C44" si="17">SUM(C45:C47)</f>
        <v>282732</v>
      </c>
      <c r="D44" s="316">
        <f t="shared" ref="D44" si="18">SUM(D45:D47)</f>
        <v>285964</v>
      </c>
      <c r="E44" s="316">
        <v>282732</v>
      </c>
      <c r="F44" s="316">
        <v>285964</v>
      </c>
      <c r="G44" s="156">
        <f>G45+G47</f>
        <v>244581</v>
      </c>
      <c r="H44" s="157">
        <f t="shared" si="10"/>
        <v>-41383</v>
      </c>
      <c r="I44" s="158">
        <f t="shared" si="2"/>
        <v>-0.14471401994656671</v>
      </c>
      <c r="J44" s="769" t="s">
        <v>876</v>
      </c>
      <c r="K44" s="157">
        <f t="shared" si="11"/>
        <v>-38151</v>
      </c>
      <c r="L44" s="158">
        <f t="shared" si="4"/>
        <v>-0.13493697211493569</v>
      </c>
      <c r="M44" s="769" t="s">
        <v>877</v>
      </c>
    </row>
    <row r="45" spans="1:13" ht="37.5" x14ac:dyDescent="0.3">
      <c r="A45" s="159">
        <v>50110</v>
      </c>
      <c r="B45" s="160" t="s">
        <v>398</v>
      </c>
      <c r="C45" s="69">
        <v>271768</v>
      </c>
      <c r="D45" s="69">
        <v>275000</v>
      </c>
      <c r="E45" s="161">
        <v>271768</v>
      </c>
      <c r="F45" s="69">
        <v>275000</v>
      </c>
      <c r="G45" s="69">
        <v>243033</v>
      </c>
      <c r="H45" s="89">
        <f t="shared" si="10"/>
        <v>-31967</v>
      </c>
      <c r="I45" s="169">
        <f t="shared" si="2"/>
        <v>-0.11624363636363637</v>
      </c>
      <c r="J45" s="770"/>
      <c r="K45" s="89">
        <f t="shared" si="11"/>
        <v>-28735</v>
      </c>
      <c r="L45" s="169">
        <f t="shared" si="4"/>
        <v>-0.10573356686585617</v>
      </c>
      <c r="M45" s="770"/>
    </row>
    <row r="46" spans="1:13" ht="37.5" x14ac:dyDescent="0.3">
      <c r="A46" s="159">
        <v>50120</v>
      </c>
      <c r="B46" s="160" t="s">
        <v>399</v>
      </c>
      <c r="C46" s="69"/>
      <c r="D46" s="69"/>
      <c r="E46" s="69"/>
      <c r="F46" s="69"/>
      <c r="G46" s="69"/>
      <c r="H46" s="89">
        <f t="shared" si="10"/>
        <v>0</v>
      </c>
      <c r="I46" s="169" t="str">
        <f t="shared" si="2"/>
        <v>-</v>
      </c>
      <c r="J46" s="770"/>
      <c r="K46" s="89">
        <f t="shared" si="11"/>
        <v>0</v>
      </c>
      <c r="L46" s="169" t="str">
        <f t="shared" si="4"/>
        <v>-</v>
      </c>
      <c r="M46" s="770"/>
    </row>
    <row r="47" spans="1:13" ht="108" customHeight="1" x14ac:dyDescent="0.3">
      <c r="A47" s="159">
        <v>50130</v>
      </c>
      <c r="B47" s="160" t="s">
        <v>400</v>
      </c>
      <c r="C47" s="69">
        <v>10964</v>
      </c>
      <c r="D47" s="69">
        <v>10964</v>
      </c>
      <c r="E47" s="69">
        <v>10964</v>
      </c>
      <c r="F47" s="69">
        <v>10964</v>
      </c>
      <c r="G47" s="69">
        <v>1548</v>
      </c>
      <c r="H47" s="89">
        <f t="shared" si="10"/>
        <v>-9416</v>
      </c>
      <c r="I47" s="169">
        <f t="shared" si="2"/>
        <v>-0.85881065304633342</v>
      </c>
      <c r="J47" s="771"/>
      <c r="K47" s="89">
        <f t="shared" si="11"/>
        <v>-9416</v>
      </c>
      <c r="L47" s="169">
        <f t="shared" si="4"/>
        <v>-0.85881065304633342</v>
      </c>
      <c r="M47" s="771"/>
    </row>
    <row r="48" spans="1:13" s="152" customFormat="1" ht="19.5" x14ac:dyDescent="0.3">
      <c r="A48" s="154">
        <v>50200</v>
      </c>
      <c r="B48" s="167" t="s">
        <v>401</v>
      </c>
      <c r="C48" s="156">
        <f t="shared" ref="C48:D48" si="19">SUM(C49:C53)</f>
        <v>937367</v>
      </c>
      <c r="D48" s="316">
        <f t="shared" si="19"/>
        <v>881009</v>
      </c>
      <c r="E48" s="156">
        <v>937367</v>
      </c>
      <c r="F48" s="316">
        <v>881009</v>
      </c>
      <c r="G48" s="156">
        <f>G49+G50+G51+G52+G53</f>
        <v>981451</v>
      </c>
      <c r="H48" s="157">
        <f t="shared" si="10"/>
        <v>100442</v>
      </c>
      <c r="I48" s="158">
        <f t="shared" si="2"/>
        <v>0.11400791592367387</v>
      </c>
      <c r="J48" s="769" t="s">
        <v>878</v>
      </c>
      <c r="K48" s="157">
        <f t="shared" si="11"/>
        <v>44084</v>
      </c>
      <c r="L48" s="158">
        <f t="shared" si="4"/>
        <v>4.7029605266667163E-2</v>
      </c>
      <c r="M48" s="769" t="s">
        <v>881</v>
      </c>
    </row>
    <row r="49" spans="1:16" x14ac:dyDescent="0.3">
      <c r="A49" s="159">
        <v>50210</v>
      </c>
      <c r="B49" s="160" t="s">
        <v>402</v>
      </c>
      <c r="C49" s="69">
        <v>906354</v>
      </c>
      <c r="D49" s="69">
        <v>850000</v>
      </c>
      <c r="E49" s="69">
        <v>906354</v>
      </c>
      <c r="F49" s="69">
        <v>850000</v>
      </c>
      <c r="G49" s="579">
        <v>964488</v>
      </c>
      <c r="H49" s="89">
        <f t="shared" si="10"/>
        <v>114488</v>
      </c>
      <c r="I49" s="169">
        <f t="shared" si="2"/>
        <v>0.13469176470588234</v>
      </c>
      <c r="J49" s="770"/>
      <c r="K49" s="89">
        <f t="shared" si="11"/>
        <v>58134</v>
      </c>
      <c r="L49" s="169">
        <f t="shared" si="4"/>
        <v>6.4140501393495253E-2</v>
      </c>
      <c r="M49" s="770"/>
    </row>
    <row r="50" spans="1:16" x14ac:dyDescent="0.3">
      <c r="A50" s="159">
        <v>50220</v>
      </c>
      <c r="B50" s="160" t="s">
        <v>403</v>
      </c>
      <c r="C50" s="69"/>
      <c r="D50" s="69"/>
      <c r="E50" s="69"/>
      <c r="F50" s="69"/>
      <c r="G50" s="69"/>
      <c r="H50" s="89">
        <f t="shared" si="10"/>
        <v>0</v>
      </c>
      <c r="I50" s="169" t="str">
        <f t="shared" si="2"/>
        <v>-</v>
      </c>
      <c r="J50" s="770"/>
      <c r="K50" s="89">
        <f t="shared" si="11"/>
        <v>0</v>
      </c>
      <c r="L50" s="169" t="str">
        <f t="shared" si="4"/>
        <v>-</v>
      </c>
      <c r="M50" s="770"/>
    </row>
    <row r="51" spans="1:16" x14ac:dyDescent="0.3">
      <c r="A51" s="159">
        <v>50230</v>
      </c>
      <c r="B51" s="160" t="s">
        <v>404</v>
      </c>
      <c r="C51" s="69">
        <v>10429</v>
      </c>
      <c r="D51" s="69">
        <v>10429</v>
      </c>
      <c r="E51" s="69">
        <v>10429</v>
      </c>
      <c r="F51" s="69">
        <v>10429</v>
      </c>
      <c r="G51" s="69">
        <v>872</v>
      </c>
      <c r="H51" s="89">
        <f t="shared" si="10"/>
        <v>-9557</v>
      </c>
      <c r="I51" s="169">
        <f t="shared" si="2"/>
        <v>-0.91638699779461119</v>
      </c>
      <c r="J51" s="770"/>
      <c r="K51" s="89">
        <f t="shared" si="11"/>
        <v>-9557</v>
      </c>
      <c r="L51" s="169">
        <f t="shared" si="4"/>
        <v>-0.91638699779461119</v>
      </c>
      <c r="M51" s="770"/>
    </row>
    <row r="52" spans="1:16" x14ac:dyDescent="0.3">
      <c r="A52" s="159">
        <v>50240</v>
      </c>
      <c r="B52" s="160" t="s">
        <v>405</v>
      </c>
      <c r="C52" s="69">
        <v>20584</v>
      </c>
      <c r="D52" s="69">
        <v>20580</v>
      </c>
      <c r="E52" s="69">
        <v>20584</v>
      </c>
      <c r="F52" s="69">
        <v>20580</v>
      </c>
      <c r="G52" s="69">
        <v>16091</v>
      </c>
      <c r="H52" s="89">
        <f t="shared" si="10"/>
        <v>-4489</v>
      </c>
      <c r="I52" s="169">
        <f t="shared" si="2"/>
        <v>-0.21812439261418853</v>
      </c>
      <c r="J52" s="770"/>
      <c r="K52" s="89">
        <f t="shared" si="11"/>
        <v>-4493</v>
      </c>
      <c r="L52" s="169">
        <f t="shared" si="4"/>
        <v>-0.21827633113097553</v>
      </c>
      <c r="M52" s="770"/>
    </row>
    <row r="53" spans="1:16" ht="109.5" customHeight="1" x14ac:dyDescent="0.3">
      <c r="A53" s="159">
        <v>50250</v>
      </c>
      <c r="B53" s="160" t="s">
        <v>406</v>
      </c>
      <c r="C53" s="69">
        <v>0</v>
      </c>
      <c r="D53" s="69">
        <v>0</v>
      </c>
      <c r="E53" s="69">
        <v>0</v>
      </c>
      <c r="F53" s="69">
        <v>0</v>
      </c>
      <c r="G53" s="69"/>
      <c r="H53" s="89">
        <f t="shared" si="10"/>
        <v>0</v>
      </c>
      <c r="I53" s="169" t="str">
        <f t="shared" si="2"/>
        <v>-</v>
      </c>
      <c r="J53" s="771"/>
      <c r="K53" s="89">
        <f t="shared" si="11"/>
        <v>0</v>
      </c>
      <c r="L53" s="169" t="str">
        <f t="shared" si="4"/>
        <v>-</v>
      </c>
      <c r="M53" s="771"/>
    </row>
    <row r="54" spans="1:16" ht="166.5" customHeight="1" x14ac:dyDescent="0.3">
      <c r="A54" s="154">
        <v>50300</v>
      </c>
      <c r="B54" s="167" t="s">
        <v>407</v>
      </c>
      <c r="C54" s="68">
        <v>1845934</v>
      </c>
      <c r="D54" s="319">
        <v>2212856</v>
      </c>
      <c r="E54" s="68">
        <v>1845934</v>
      </c>
      <c r="F54" s="319">
        <v>2212856</v>
      </c>
      <c r="G54" s="68">
        <v>707278</v>
      </c>
      <c r="H54" s="88">
        <f t="shared" si="10"/>
        <v>-1505578</v>
      </c>
      <c r="I54" s="168">
        <f t="shared" si="2"/>
        <v>-0.68037775616669138</v>
      </c>
      <c r="J54" s="658" t="s">
        <v>879</v>
      </c>
      <c r="K54" s="88">
        <f t="shared" si="11"/>
        <v>-1138656</v>
      </c>
      <c r="L54" s="168">
        <f t="shared" si="4"/>
        <v>-0.61684545601305352</v>
      </c>
      <c r="M54" s="659" t="s">
        <v>880</v>
      </c>
    </row>
    <row r="55" spans="1:16" s="152" customFormat="1" ht="37.5" x14ac:dyDescent="0.3">
      <c r="A55" s="154">
        <v>51000</v>
      </c>
      <c r="B55" s="167" t="s">
        <v>408</v>
      </c>
      <c r="C55" s="156">
        <f t="shared" ref="C55:D55" si="20">C43+C29</f>
        <v>14998795</v>
      </c>
      <c r="D55" s="316">
        <f t="shared" si="20"/>
        <v>15423913</v>
      </c>
      <c r="E55" s="156">
        <v>14998795</v>
      </c>
      <c r="F55" s="316">
        <f>F43+F29</f>
        <v>15423913</v>
      </c>
      <c r="G55" s="156">
        <f>G43+G29</f>
        <v>14555880</v>
      </c>
      <c r="H55" s="157">
        <f t="shared" si="10"/>
        <v>-868033</v>
      </c>
      <c r="I55" s="158">
        <f t="shared" si="2"/>
        <v>-5.6278390574428162E-2</v>
      </c>
      <c r="J55" s="602"/>
      <c r="K55" s="157">
        <f t="shared" si="11"/>
        <v>-442915</v>
      </c>
      <c r="L55" s="158">
        <f t="shared" si="4"/>
        <v>-2.9530038913126021E-2</v>
      </c>
      <c r="M55" s="602"/>
      <c r="P55" s="558"/>
    </row>
    <row r="56" spans="1:16" x14ac:dyDescent="0.3">
      <c r="A56" s="777"/>
      <c r="B56" s="778"/>
      <c r="C56" s="778"/>
      <c r="D56" s="778"/>
      <c r="E56" s="778"/>
      <c r="F56" s="778"/>
      <c r="G56" s="778"/>
      <c r="H56" s="778"/>
      <c r="I56" s="778"/>
      <c r="J56" s="778"/>
      <c r="K56" s="778"/>
      <c r="L56" s="778"/>
      <c r="M56" s="778"/>
      <c r="P56" s="557"/>
    </row>
    <row r="57" spans="1:16" s="152" customFormat="1" ht="37.5" x14ac:dyDescent="0.3">
      <c r="A57" s="154" t="s">
        <v>310</v>
      </c>
      <c r="B57" s="167" t="s">
        <v>409</v>
      </c>
      <c r="C57" s="156">
        <f t="shared" ref="C57:D57" si="21">SUM(C58:C59)</f>
        <v>8038658</v>
      </c>
      <c r="D57" s="316">
        <f t="shared" si="21"/>
        <v>8081513</v>
      </c>
      <c r="E57" s="156">
        <f>E58+E59</f>
        <v>8038658</v>
      </c>
      <c r="F57" s="316">
        <v>8081513</v>
      </c>
      <c r="G57" s="156">
        <f>G58+G59</f>
        <v>8105018</v>
      </c>
      <c r="H57" s="157">
        <f t="shared" ref="H57:H59" si="22">G57-F57</f>
        <v>23505</v>
      </c>
      <c r="I57" s="158">
        <f t="shared" si="2"/>
        <v>2.9084900315077141E-3</v>
      </c>
      <c r="J57" s="602"/>
      <c r="K57" s="157">
        <f t="shared" ref="K57:K59" si="23">G57-E57</f>
        <v>66360</v>
      </c>
      <c r="L57" s="158">
        <f t="shared" si="4"/>
        <v>8.2551092483347348E-3</v>
      </c>
      <c r="M57" s="602"/>
      <c r="P57" s="558"/>
    </row>
    <row r="58" spans="1:16" s="152" customFormat="1" ht="37.5" x14ac:dyDescent="0.3">
      <c r="A58" s="154">
        <v>21000</v>
      </c>
      <c r="B58" s="172" t="s">
        <v>410</v>
      </c>
      <c r="C58" s="156">
        <f t="shared" ref="C58:D58" si="24">C11</f>
        <v>6124227</v>
      </c>
      <c r="D58" s="316">
        <f t="shared" si="24"/>
        <v>6297141</v>
      </c>
      <c r="E58" s="156">
        <f>E11</f>
        <v>6124227</v>
      </c>
      <c r="F58" s="316">
        <v>6297141</v>
      </c>
      <c r="G58" s="156">
        <f>G11</f>
        <v>5930401</v>
      </c>
      <c r="H58" s="157">
        <f t="shared" si="22"/>
        <v>-366740</v>
      </c>
      <c r="I58" s="158">
        <f t="shared" si="2"/>
        <v>-5.8239127883590348E-2</v>
      </c>
      <c r="J58" s="602"/>
      <c r="K58" s="157">
        <f t="shared" si="23"/>
        <v>-193826</v>
      </c>
      <c r="L58" s="158">
        <f t="shared" si="4"/>
        <v>-3.1649055464469229E-2</v>
      </c>
      <c r="M58" s="602"/>
      <c r="P58" s="558"/>
    </row>
    <row r="59" spans="1:16" s="152" customFormat="1" ht="19.5" x14ac:dyDescent="0.3">
      <c r="A59" s="154">
        <v>22000</v>
      </c>
      <c r="B59" s="173" t="s">
        <v>411</v>
      </c>
      <c r="C59" s="156">
        <f t="shared" ref="C59:D59" si="25">C18</f>
        <v>1914431</v>
      </c>
      <c r="D59" s="316">
        <f t="shared" si="25"/>
        <v>1784372</v>
      </c>
      <c r="E59" s="156">
        <f>E18</f>
        <v>1914431</v>
      </c>
      <c r="F59" s="316">
        <v>1784372</v>
      </c>
      <c r="G59" s="156">
        <f>G18</f>
        <v>2174617</v>
      </c>
      <c r="H59" s="157">
        <f t="shared" si="22"/>
        <v>390245</v>
      </c>
      <c r="I59" s="158">
        <f t="shared" si="2"/>
        <v>0.21870159361388769</v>
      </c>
      <c r="J59" s="602"/>
      <c r="K59" s="157">
        <f t="shared" si="23"/>
        <v>260186</v>
      </c>
      <c r="L59" s="158">
        <f t="shared" si="4"/>
        <v>0.13590774491219584</v>
      </c>
      <c r="M59" s="602"/>
      <c r="P59" s="558"/>
    </row>
    <row r="60" spans="1:16" s="152" customFormat="1" ht="19.5" x14ac:dyDescent="0.3">
      <c r="A60" s="174"/>
      <c r="B60" s="175"/>
      <c r="C60" s="176"/>
      <c r="D60" s="12"/>
      <c r="E60" s="176"/>
      <c r="F60" s="176"/>
      <c r="G60" s="176"/>
      <c r="H60" s="177"/>
      <c r="I60" s="178"/>
      <c r="J60" s="603"/>
      <c r="K60" s="177"/>
      <c r="L60" s="178"/>
      <c r="M60" s="603"/>
      <c r="P60" s="558"/>
    </row>
    <row r="61" spans="1:16" x14ac:dyDescent="0.3">
      <c r="A61" s="152" t="s">
        <v>582</v>
      </c>
      <c r="P61" s="557"/>
    </row>
    <row r="62" spans="1:16" ht="22.5" x14ac:dyDescent="0.3">
      <c r="A62" s="179" t="s">
        <v>643</v>
      </c>
    </row>
    <row r="63" spans="1:16" x14ac:dyDescent="0.3">
      <c r="A63" s="127" t="s">
        <v>642</v>
      </c>
    </row>
    <row r="68" ht="53.25" customHeight="1" x14ac:dyDescent="0.3"/>
    <row r="72" ht="2.25" customHeight="1" x14ac:dyDescent="0.3"/>
  </sheetData>
  <sheetProtection formatCells="0" formatColumns="0" formatRows="0"/>
  <mergeCells count="16">
    <mergeCell ref="J44:J47"/>
    <mergeCell ref="M44:M47"/>
    <mergeCell ref="J48:J53"/>
    <mergeCell ref="M48:M53"/>
    <mergeCell ref="A56:M56"/>
    <mergeCell ref="J30:J32"/>
    <mergeCell ref="M30:M32"/>
    <mergeCell ref="J33:J39"/>
    <mergeCell ref="M33:M39"/>
    <mergeCell ref="J40:J42"/>
    <mergeCell ref="M40:M42"/>
    <mergeCell ref="J11:J17"/>
    <mergeCell ref="M11:M17"/>
    <mergeCell ref="J18:J26"/>
    <mergeCell ref="M18:M26"/>
    <mergeCell ref="A28:M28"/>
  </mergeCells>
  <pageMargins left="0.70866141732283472" right="0.70866141732283472" top="0.74803149606299213" bottom="0.74803149606299213" header="0.31496062992125984" footer="0.31496062992125984"/>
  <pageSetup paperSize="9" scale="67" orientation="portrait" r:id="rId1"/>
  <headerFooter>
    <oddHeader>&amp;C&amp;"Times New Roman,Bold"&amp;14
Bilance&amp;R&amp;"Times New Roman,Regular"&amp;14 3.pielikums</oddHeader>
    <oddFooter>&amp;C&amp;"Times New Roman,Regular"&amp;12&amp;F&amp;R&amp;"Times New Roman,Regular"&amp;12&amp;P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4">
    <tabColor theme="9" tint="0.79998168889431442"/>
  </sheetPr>
  <dimension ref="A1:N157"/>
  <sheetViews>
    <sheetView tabSelected="1" topLeftCell="A115" zoomScale="80" zoomScaleNormal="80" zoomScalePageLayoutView="40" workbookViewId="0">
      <selection activeCell="G10" sqref="G10"/>
    </sheetView>
  </sheetViews>
  <sheetFormatPr defaultRowHeight="18.75" x14ac:dyDescent="0.2"/>
  <cols>
    <col min="1" max="1" width="8.42578125" style="432" bestFit="1" customWidth="1"/>
    <col min="2" max="2" width="42" style="209" customWidth="1"/>
    <col min="3" max="3" width="14.42578125" style="209" customWidth="1"/>
    <col min="4" max="4" width="15" style="209" customWidth="1"/>
    <col min="5" max="5" width="20.85546875" style="209" customWidth="1"/>
    <col min="6" max="6" width="15" style="209" customWidth="1"/>
    <col min="7" max="7" width="14.7109375" style="209" customWidth="1"/>
    <col min="8" max="8" width="18.7109375" style="371" customWidth="1"/>
    <col min="9" max="9" width="21.5703125" style="371" customWidth="1"/>
    <col min="10" max="10" width="37.28515625" style="209" customWidth="1"/>
    <col min="11" max="11" width="21.140625" style="371" customWidth="1"/>
    <col min="12" max="12" width="21.85546875" style="371" customWidth="1"/>
    <col min="13" max="13" width="41.85546875" style="209" customWidth="1"/>
    <col min="14" max="14" width="55.42578125" style="209" customWidth="1"/>
    <col min="15" max="15" width="9.28515625" style="209" customWidth="1"/>
    <col min="16" max="16384" width="9.140625" style="209"/>
  </cols>
  <sheetData>
    <row r="1" spans="1:13" ht="131.25" x14ac:dyDescent="0.2">
      <c r="A1" s="150" t="s">
        <v>0</v>
      </c>
      <c r="B1" s="151" t="s">
        <v>466</v>
      </c>
      <c r="C1" s="100" t="s">
        <v>713</v>
      </c>
      <c r="D1" s="100" t="s">
        <v>714</v>
      </c>
      <c r="E1" s="100" t="s">
        <v>816</v>
      </c>
      <c r="F1" s="100" t="s">
        <v>814</v>
      </c>
      <c r="G1" s="100" t="s">
        <v>798</v>
      </c>
      <c r="H1" s="101" t="s">
        <v>715</v>
      </c>
      <c r="I1" s="101" t="s">
        <v>718</v>
      </c>
      <c r="J1" s="100" t="s">
        <v>885</v>
      </c>
      <c r="K1" s="101" t="s">
        <v>721</v>
      </c>
      <c r="L1" s="101" t="s">
        <v>719</v>
      </c>
      <c r="M1" s="100" t="s">
        <v>885</v>
      </c>
    </row>
    <row r="2" spans="1:13" x14ac:dyDescent="0.2">
      <c r="A2" s="153">
        <v>1</v>
      </c>
      <c r="B2" s="100">
        <v>2</v>
      </c>
      <c r="C2" s="150">
        <v>3</v>
      </c>
      <c r="D2" s="150">
        <v>4</v>
      </c>
      <c r="E2" s="100">
        <v>5</v>
      </c>
      <c r="F2" s="150">
        <v>6</v>
      </c>
      <c r="G2" s="100">
        <v>7</v>
      </c>
      <c r="H2" s="101">
        <v>8</v>
      </c>
      <c r="I2" s="10">
        <v>9</v>
      </c>
      <c r="J2" s="100">
        <v>10</v>
      </c>
      <c r="K2" s="104">
        <v>11</v>
      </c>
      <c r="L2" s="10">
        <v>12</v>
      </c>
      <c r="M2" s="100">
        <v>13</v>
      </c>
    </row>
    <row r="3" spans="1:13" ht="37.5" x14ac:dyDescent="0.2">
      <c r="A3" s="367">
        <v>10000</v>
      </c>
      <c r="B3" s="172" t="s">
        <v>182</v>
      </c>
      <c r="C3" s="296">
        <v>2652150</v>
      </c>
      <c r="D3" s="306">
        <v>1845934</v>
      </c>
      <c r="E3" s="725">
        <f>C3</f>
        <v>2652150</v>
      </c>
      <c r="F3" s="306">
        <v>1845934</v>
      </c>
      <c r="G3" s="296">
        <f>D3</f>
        <v>1845934</v>
      </c>
      <c r="H3" s="368">
        <f>G3-F3</f>
        <v>0</v>
      </c>
      <c r="I3" s="369">
        <f>IFERROR(H3/ABS(F3), "-")</f>
        <v>0</v>
      </c>
      <c r="J3" s="660"/>
      <c r="K3" s="368">
        <f>G3-E3</f>
        <v>-806216</v>
      </c>
      <c r="L3" s="369">
        <f>IFERROR(K3/ABS(E3), "-")</f>
        <v>-0.30398582282299269</v>
      </c>
      <c r="M3" s="660"/>
    </row>
    <row r="4" spans="1:13" x14ac:dyDescent="0.2">
      <c r="A4" s="370" t="s">
        <v>191</v>
      </c>
      <c r="B4" s="782" t="s">
        <v>183</v>
      </c>
      <c r="C4" s="782"/>
      <c r="D4" s="782"/>
      <c r="E4" s="782"/>
      <c r="F4" s="782"/>
      <c r="G4" s="782"/>
      <c r="H4" s="782"/>
      <c r="J4" s="661"/>
      <c r="L4" s="372"/>
      <c r="M4" s="661"/>
    </row>
    <row r="5" spans="1:13" ht="19.5" x14ac:dyDescent="0.2">
      <c r="A5" s="373">
        <v>11000</v>
      </c>
      <c r="B5" s="172" t="s">
        <v>184</v>
      </c>
      <c r="C5" s="107">
        <f>C6++C24+C27+C31+C32+C33</f>
        <v>19151328.189999998</v>
      </c>
      <c r="D5" s="307">
        <f t="shared" ref="D5" si="0">D6+D24+D27+D31+D32+D33</f>
        <v>22350553</v>
      </c>
      <c r="E5" s="307">
        <v>19151328.189999998</v>
      </c>
      <c r="F5" s="307">
        <v>22350553</v>
      </c>
      <c r="G5" s="107">
        <f>G6+G24+G27+G31+G32+G33</f>
        <v>21941741.299999997</v>
      </c>
      <c r="H5" s="108">
        <f t="shared" ref="H5:H45" si="1">G5-F5</f>
        <v>-408811.70000000298</v>
      </c>
      <c r="I5" s="254">
        <f t="shared" ref="I5:I68" si="2">IFERROR(H5/ABS(F5), "-")</f>
        <v>-1.8290898663670781E-2</v>
      </c>
      <c r="J5" s="662"/>
      <c r="K5" s="108">
        <f t="shared" ref="K5:K68" si="3">G5-E5</f>
        <v>2790413.1099999994</v>
      </c>
      <c r="L5" s="254">
        <f t="shared" ref="L5:L68" si="4">IFERROR(K5/ABS(E5), "-")</f>
        <v>0.14570337275390818</v>
      </c>
      <c r="M5" s="662"/>
    </row>
    <row r="6" spans="1:13" ht="37.5" x14ac:dyDescent="0.2">
      <c r="A6" s="374">
        <v>11100</v>
      </c>
      <c r="B6" s="375" t="s">
        <v>185</v>
      </c>
      <c r="C6" s="107">
        <f t="shared" ref="C6:D6" si="5">C7+C12+C15+C18+C23</f>
        <v>17057317.009999998</v>
      </c>
      <c r="D6" s="107">
        <f t="shared" si="5"/>
        <v>20160366</v>
      </c>
      <c r="E6" s="107">
        <v>17057317.009999998</v>
      </c>
      <c r="F6" s="107">
        <v>20160366</v>
      </c>
      <c r="G6" s="107">
        <f>G7+G12+G15+G18+G23</f>
        <v>19801756.43</v>
      </c>
      <c r="H6" s="108">
        <f t="shared" si="1"/>
        <v>-358609.5700000003</v>
      </c>
      <c r="I6" s="254">
        <f t="shared" si="2"/>
        <v>-1.7787850180894547E-2</v>
      </c>
      <c r="J6" s="662"/>
      <c r="K6" s="108">
        <f t="shared" si="3"/>
        <v>2744439.4200000018</v>
      </c>
      <c r="L6" s="254">
        <f t="shared" si="4"/>
        <v>0.1608951406830893</v>
      </c>
      <c r="M6" s="662"/>
    </row>
    <row r="7" spans="1:13" s="376" customFormat="1" ht="37.5" customHeight="1" x14ac:dyDescent="0.2">
      <c r="A7" s="374">
        <v>11110</v>
      </c>
      <c r="B7" s="375" t="s">
        <v>120</v>
      </c>
      <c r="C7" s="107">
        <f t="shared" ref="C7:D7" si="6">SUM(C8:C11)</f>
        <v>16439008.459999999</v>
      </c>
      <c r="D7" s="107">
        <f t="shared" si="6"/>
        <v>19451455</v>
      </c>
      <c r="E7" s="107">
        <v>16439008.459999999</v>
      </c>
      <c r="F7" s="107">
        <v>19451455</v>
      </c>
      <c r="G7" s="107">
        <f>SUM(G8:G11)</f>
        <v>19061688.870000001</v>
      </c>
      <c r="H7" s="108">
        <f t="shared" si="1"/>
        <v>-389766.12999999896</v>
      </c>
      <c r="I7" s="254">
        <f>IFERROR(H7/ABS(F7), "-")</f>
        <v>-2.0037890738764733E-2</v>
      </c>
      <c r="J7" s="663"/>
      <c r="K7" s="108">
        <f t="shared" si="3"/>
        <v>2622680.410000002</v>
      </c>
      <c r="L7" s="254">
        <f>IFERROR(K7/ABS(E7), "-")</f>
        <v>0.15954006084865791</v>
      </c>
      <c r="M7" s="663"/>
    </row>
    <row r="8" spans="1:13" x14ac:dyDescent="0.2">
      <c r="A8" s="377">
        <v>11111</v>
      </c>
      <c r="B8" s="378" t="s">
        <v>4</v>
      </c>
      <c r="C8" s="7">
        <v>15213629.609999999</v>
      </c>
      <c r="D8" s="308">
        <v>17891543</v>
      </c>
      <c r="E8" s="7">
        <v>15213629.609999999</v>
      </c>
      <c r="F8" s="308">
        <v>17891543</v>
      </c>
      <c r="G8" s="7">
        <v>17704563.350000001</v>
      </c>
      <c r="H8" s="84">
        <f>G8-F8</f>
        <v>-186979.64999999851</v>
      </c>
      <c r="I8" s="169">
        <f>IFERROR(H8/ABS(F8), "-")</f>
        <v>-1.0450728033909569E-2</v>
      </c>
      <c r="J8" s="663"/>
      <c r="K8" s="84">
        <f t="shared" si="3"/>
        <v>2490933.7400000021</v>
      </c>
      <c r="L8" s="169">
        <f t="shared" si="4"/>
        <v>0.16373040516003479</v>
      </c>
      <c r="M8" s="664" t="s">
        <v>797</v>
      </c>
    </row>
    <row r="9" spans="1:13" ht="47.25" x14ac:dyDescent="0.2">
      <c r="A9" s="377">
        <v>11112</v>
      </c>
      <c r="B9" s="378" t="s">
        <v>5</v>
      </c>
      <c r="C9" s="7">
        <f>40326.56</f>
        <v>40326.559999999998</v>
      </c>
      <c r="D9" s="308">
        <v>62888</v>
      </c>
      <c r="E9" s="7">
        <v>40326.559999999998</v>
      </c>
      <c r="F9" s="308">
        <v>62888</v>
      </c>
      <c r="G9" s="7">
        <v>48474.57</v>
      </c>
      <c r="H9" s="84">
        <f t="shared" si="1"/>
        <v>-14413.43</v>
      </c>
      <c r="I9" s="169">
        <f t="shared" si="2"/>
        <v>-0.22919205571810203</v>
      </c>
      <c r="J9" s="664" t="s">
        <v>773</v>
      </c>
      <c r="K9" s="84">
        <f t="shared" si="3"/>
        <v>8148.010000000002</v>
      </c>
      <c r="L9" s="169">
        <f t="shared" si="4"/>
        <v>0.20205070801972702</v>
      </c>
      <c r="M9" s="664" t="s">
        <v>797</v>
      </c>
    </row>
    <row r="10" spans="1:13" ht="47.25" x14ac:dyDescent="0.2">
      <c r="A10" s="377">
        <v>11113</v>
      </c>
      <c r="B10" s="378" t="s">
        <v>6</v>
      </c>
      <c r="C10" s="7">
        <f>1177887.12</f>
        <v>1177887.1200000001</v>
      </c>
      <c r="D10" s="308">
        <v>1471146</v>
      </c>
      <c r="E10" s="7">
        <v>1177887.1200000001</v>
      </c>
      <c r="F10" s="308">
        <v>1471146</v>
      </c>
      <c r="G10" s="7">
        <v>1304185.45</v>
      </c>
      <c r="H10" s="84">
        <f t="shared" si="1"/>
        <v>-166960.55000000005</v>
      </c>
      <c r="I10" s="169">
        <f t="shared" si="2"/>
        <v>-0.11349012946369703</v>
      </c>
      <c r="J10" s="664" t="s">
        <v>773</v>
      </c>
      <c r="K10" s="84">
        <f t="shared" si="3"/>
        <v>126298.32999999984</v>
      </c>
      <c r="L10" s="169">
        <f t="shared" si="4"/>
        <v>0.10722447665443513</v>
      </c>
      <c r="M10" s="664" t="s">
        <v>797</v>
      </c>
    </row>
    <row r="11" spans="1:13" ht="47.25" x14ac:dyDescent="0.2">
      <c r="A11" s="377">
        <v>11114</v>
      </c>
      <c r="B11" s="378" t="s">
        <v>301</v>
      </c>
      <c r="C11" s="7">
        <v>7165.17</v>
      </c>
      <c r="D11" s="308">
        <v>25878</v>
      </c>
      <c r="E11" s="7">
        <v>7165.17</v>
      </c>
      <c r="F11" s="308">
        <v>25878</v>
      </c>
      <c r="G11" s="7">
        <v>4465.5</v>
      </c>
      <c r="H11" s="84">
        <f t="shared" si="1"/>
        <v>-21412.5</v>
      </c>
      <c r="I11" s="169">
        <f t="shared" si="2"/>
        <v>-0.82744029677718522</v>
      </c>
      <c r="J11" s="664" t="s">
        <v>773</v>
      </c>
      <c r="K11" s="84">
        <f t="shared" si="3"/>
        <v>-2699.67</v>
      </c>
      <c r="L11" s="169">
        <f t="shared" si="4"/>
        <v>-0.37677682455545369</v>
      </c>
      <c r="M11" s="664" t="s">
        <v>773</v>
      </c>
    </row>
    <row r="12" spans="1:13" s="380" customFormat="1" ht="37.5" x14ac:dyDescent="0.2">
      <c r="A12" s="374">
        <v>11120</v>
      </c>
      <c r="B12" s="379" t="s">
        <v>126</v>
      </c>
      <c r="C12" s="107">
        <f t="shared" ref="C12:D12" si="7">SUM(C13:C14)</f>
        <v>0</v>
      </c>
      <c r="D12" s="107">
        <f t="shared" si="7"/>
        <v>0</v>
      </c>
      <c r="E12" s="107">
        <v>0</v>
      </c>
      <c r="F12" s="107">
        <v>0</v>
      </c>
      <c r="G12" s="107">
        <f t="shared" ref="G12" si="8">SUM(G13:G14)</f>
        <v>0</v>
      </c>
      <c r="H12" s="108">
        <f t="shared" si="1"/>
        <v>0</v>
      </c>
      <c r="I12" s="254" t="str">
        <f t="shared" si="2"/>
        <v>-</v>
      </c>
      <c r="J12" s="788"/>
      <c r="K12" s="108">
        <f t="shared" si="3"/>
        <v>0</v>
      </c>
      <c r="L12" s="254" t="str">
        <f t="shared" si="4"/>
        <v>-</v>
      </c>
      <c r="M12" s="788"/>
    </row>
    <row r="13" spans="1:13" x14ac:dyDescent="0.2">
      <c r="A13" s="377">
        <v>11121</v>
      </c>
      <c r="B13" s="378" t="s">
        <v>128</v>
      </c>
      <c r="C13" s="7"/>
      <c r="D13" s="308"/>
      <c r="E13" s="7"/>
      <c r="F13" s="308"/>
      <c r="G13" s="7"/>
      <c r="H13" s="84">
        <f t="shared" si="1"/>
        <v>0</v>
      </c>
      <c r="I13" s="169" t="str">
        <f t="shared" si="2"/>
        <v>-</v>
      </c>
      <c r="J13" s="789"/>
      <c r="K13" s="84">
        <f t="shared" si="3"/>
        <v>0</v>
      </c>
      <c r="L13" s="169" t="str">
        <f t="shared" si="4"/>
        <v>-</v>
      </c>
      <c r="M13" s="789"/>
    </row>
    <row r="14" spans="1:13" x14ac:dyDescent="0.2">
      <c r="A14" s="377">
        <v>11122</v>
      </c>
      <c r="B14" s="378" t="s">
        <v>130</v>
      </c>
      <c r="C14" s="7"/>
      <c r="D14" s="308"/>
      <c r="E14" s="7"/>
      <c r="F14" s="308"/>
      <c r="G14" s="7"/>
      <c r="H14" s="84">
        <f t="shared" si="1"/>
        <v>0</v>
      </c>
      <c r="I14" s="169" t="str">
        <f t="shared" si="2"/>
        <v>-</v>
      </c>
      <c r="J14" s="790"/>
      <c r="K14" s="84">
        <f t="shared" si="3"/>
        <v>0</v>
      </c>
      <c r="L14" s="169" t="str">
        <f t="shared" si="4"/>
        <v>-</v>
      </c>
      <c r="M14" s="790"/>
    </row>
    <row r="15" spans="1:13" s="380" customFormat="1" ht="37.5" customHeight="1" x14ac:dyDescent="0.2">
      <c r="A15" s="374">
        <v>11130</v>
      </c>
      <c r="B15" s="379" t="s">
        <v>132</v>
      </c>
      <c r="C15" s="107">
        <f t="shared" ref="C15:G15" si="9">SUM(C16:C17)</f>
        <v>618308.54999999993</v>
      </c>
      <c r="D15" s="107">
        <f t="shared" si="9"/>
        <v>708911</v>
      </c>
      <c r="E15" s="107">
        <v>618308.54999999993</v>
      </c>
      <c r="F15" s="107">
        <v>708911</v>
      </c>
      <c r="G15" s="107">
        <f t="shared" si="9"/>
        <v>740067.56</v>
      </c>
      <c r="H15" s="108">
        <f t="shared" si="1"/>
        <v>31156.560000000056</v>
      </c>
      <c r="I15" s="254">
        <f t="shared" si="2"/>
        <v>4.3949889337307584E-2</v>
      </c>
      <c r="J15" s="794"/>
      <c r="K15" s="108">
        <f t="shared" si="3"/>
        <v>121759.01000000013</v>
      </c>
      <c r="L15" s="254">
        <f t="shared" si="4"/>
        <v>0.19692273380337397</v>
      </c>
      <c r="M15" s="797" t="s">
        <v>792</v>
      </c>
    </row>
    <row r="16" spans="1:13" ht="96" customHeight="1" x14ac:dyDescent="0.2">
      <c r="A16" s="377">
        <v>11131</v>
      </c>
      <c r="B16" s="378" t="s">
        <v>134</v>
      </c>
      <c r="C16" s="7">
        <f>1575.46+615120.9+1612.19</f>
        <v>618308.54999999993</v>
      </c>
      <c r="D16" s="308">
        <v>708911</v>
      </c>
      <c r="E16" s="7">
        <v>618308.54999999993</v>
      </c>
      <c r="F16" s="308">
        <v>708911</v>
      </c>
      <c r="G16" s="7">
        <v>740067.56</v>
      </c>
      <c r="H16" s="84">
        <f t="shared" si="1"/>
        <v>31156.560000000056</v>
      </c>
      <c r="I16" s="169">
        <f t="shared" si="2"/>
        <v>4.3949889337307584E-2</v>
      </c>
      <c r="J16" s="795"/>
      <c r="K16" s="84">
        <f>G16-E16</f>
        <v>121759.01000000013</v>
      </c>
      <c r="L16" s="169">
        <f>IFERROR(K16/ABS(E16), "-")</f>
        <v>0.19692273380337397</v>
      </c>
      <c r="M16" s="798"/>
    </row>
    <row r="17" spans="1:13" ht="37.5" x14ac:dyDescent="0.2">
      <c r="A17" s="377">
        <v>11132</v>
      </c>
      <c r="B17" s="378" t="s">
        <v>10</v>
      </c>
      <c r="C17" s="7"/>
      <c r="D17" s="308"/>
      <c r="E17" s="7"/>
      <c r="F17" s="308"/>
      <c r="G17" s="7"/>
      <c r="H17" s="84">
        <f t="shared" si="1"/>
        <v>0</v>
      </c>
      <c r="I17" s="169" t="str">
        <f t="shared" si="2"/>
        <v>-</v>
      </c>
      <c r="J17" s="796"/>
      <c r="K17" s="84">
        <f t="shared" si="3"/>
        <v>0</v>
      </c>
      <c r="L17" s="169" t="str">
        <f t="shared" si="4"/>
        <v>-</v>
      </c>
      <c r="M17" s="799"/>
    </row>
    <row r="18" spans="1:13" s="380" customFormat="1" ht="19.5" x14ac:dyDescent="0.2">
      <c r="A18" s="374">
        <v>11140</v>
      </c>
      <c r="B18" s="379" t="s">
        <v>107</v>
      </c>
      <c r="C18" s="107">
        <f t="shared" ref="C18:D18" si="10">SUM(C19:C22)</f>
        <v>0</v>
      </c>
      <c r="D18" s="107">
        <f t="shared" si="10"/>
        <v>0</v>
      </c>
      <c r="E18" s="107">
        <v>0</v>
      </c>
      <c r="F18" s="107">
        <v>0</v>
      </c>
      <c r="G18" s="107">
        <f t="shared" ref="G18" si="11">SUM(G19:G22)</f>
        <v>0</v>
      </c>
      <c r="H18" s="108">
        <f t="shared" si="1"/>
        <v>0</v>
      </c>
      <c r="I18" s="254" t="str">
        <f t="shared" si="2"/>
        <v>-</v>
      </c>
      <c r="J18" s="788"/>
      <c r="K18" s="108">
        <f t="shared" si="3"/>
        <v>0</v>
      </c>
      <c r="L18" s="254" t="str">
        <f t="shared" si="4"/>
        <v>-</v>
      </c>
      <c r="M18" s="788"/>
    </row>
    <row r="19" spans="1:13" ht="37.5" x14ac:dyDescent="0.2">
      <c r="A19" s="377">
        <v>11141</v>
      </c>
      <c r="B19" s="378" t="s">
        <v>8</v>
      </c>
      <c r="C19" s="7"/>
      <c r="D19" s="308"/>
      <c r="E19" s="7"/>
      <c r="F19" s="308"/>
      <c r="G19" s="7"/>
      <c r="H19" s="84">
        <f t="shared" si="1"/>
        <v>0</v>
      </c>
      <c r="I19" s="169" t="str">
        <f t="shared" si="2"/>
        <v>-</v>
      </c>
      <c r="J19" s="789"/>
      <c r="K19" s="84">
        <f t="shared" si="3"/>
        <v>0</v>
      </c>
      <c r="L19" s="169" t="str">
        <f t="shared" si="4"/>
        <v>-</v>
      </c>
      <c r="M19" s="789"/>
    </row>
    <row r="20" spans="1:13" ht="37.5" x14ac:dyDescent="0.2">
      <c r="A20" s="377">
        <v>11142</v>
      </c>
      <c r="B20" s="378" t="s">
        <v>467</v>
      </c>
      <c r="C20" s="7"/>
      <c r="D20" s="308"/>
      <c r="E20" s="7"/>
      <c r="F20" s="308"/>
      <c r="G20" s="7"/>
      <c r="H20" s="84">
        <f t="shared" si="1"/>
        <v>0</v>
      </c>
      <c r="I20" s="169" t="str">
        <f t="shared" si="2"/>
        <v>-</v>
      </c>
      <c r="J20" s="789"/>
      <c r="K20" s="84">
        <f t="shared" si="3"/>
        <v>0</v>
      </c>
      <c r="L20" s="169" t="str">
        <f t="shared" si="4"/>
        <v>-</v>
      </c>
      <c r="M20" s="789"/>
    </row>
    <row r="21" spans="1:13" ht="56.25" x14ac:dyDescent="0.2">
      <c r="A21" s="377">
        <v>11143</v>
      </c>
      <c r="B21" s="378" t="s">
        <v>11</v>
      </c>
      <c r="C21" s="7"/>
      <c r="D21" s="308"/>
      <c r="E21" s="7"/>
      <c r="F21" s="308"/>
      <c r="G21" s="7"/>
      <c r="H21" s="84">
        <f t="shared" si="1"/>
        <v>0</v>
      </c>
      <c r="I21" s="169" t="str">
        <f t="shared" si="2"/>
        <v>-</v>
      </c>
      <c r="J21" s="789"/>
      <c r="K21" s="84">
        <f t="shared" si="3"/>
        <v>0</v>
      </c>
      <c r="L21" s="169" t="str">
        <f t="shared" si="4"/>
        <v>-</v>
      </c>
      <c r="M21" s="789"/>
    </row>
    <row r="22" spans="1:13" x14ac:dyDescent="0.2">
      <c r="A22" s="377">
        <v>11144</v>
      </c>
      <c r="B22" s="378" t="s">
        <v>12</v>
      </c>
      <c r="C22" s="7"/>
      <c r="D22" s="308"/>
      <c r="E22" s="7"/>
      <c r="F22" s="308"/>
      <c r="G22" s="7"/>
      <c r="H22" s="84">
        <f t="shared" si="1"/>
        <v>0</v>
      </c>
      <c r="I22" s="169" t="str">
        <f t="shared" si="2"/>
        <v>-</v>
      </c>
      <c r="J22" s="790"/>
      <c r="K22" s="84">
        <f t="shared" si="3"/>
        <v>0</v>
      </c>
      <c r="L22" s="169" t="str">
        <f t="shared" si="4"/>
        <v>-</v>
      </c>
      <c r="M22" s="790"/>
    </row>
    <row r="23" spans="1:13" ht="56.25" x14ac:dyDescent="0.2">
      <c r="A23" s="374">
        <v>11150</v>
      </c>
      <c r="B23" s="379" t="s">
        <v>413</v>
      </c>
      <c r="C23" s="70"/>
      <c r="D23" s="309"/>
      <c r="E23" s="70"/>
      <c r="F23" s="309"/>
      <c r="G23" s="70"/>
      <c r="H23" s="91">
        <f t="shared" si="1"/>
        <v>0</v>
      </c>
      <c r="I23" s="168" t="str">
        <f t="shared" si="2"/>
        <v>-</v>
      </c>
      <c r="J23" s="665"/>
      <c r="K23" s="91">
        <f t="shared" si="3"/>
        <v>0</v>
      </c>
      <c r="L23" s="168" t="str">
        <f t="shared" si="4"/>
        <v>-</v>
      </c>
      <c r="M23" s="665"/>
    </row>
    <row r="24" spans="1:13" ht="19.5" x14ac:dyDescent="0.2">
      <c r="A24" s="374">
        <v>11200</v>
      </c>
      <c r="B24" s="379" t="s">
        <v>13</v>
      </c>
      <c r="C24" s="296">
        <f>C25+C26</f>
        <v>0</v>
      </c>
      <c r="D24" s="310">
        <f t="shared" ref="D24" si="12">D25+D26</f>
        <v>0</v>
      </c>
      <c r="E24" s="296">
        <v>0</v>
      </c>
      <c r="F24" s="310">
        <v>0</v>
      </c>
      <c r="G24" s="296">
        <f>G25+G26</f>
        <v>0</v>
      </c>
      <c r="H24" s="368">
        <f t="shared" si="1"/>
        <v>0</v>
      </c>
      <c r="I24" s="369" t="str">
        <f t="shared" si="2"/>
        <v>-</v>
      </c>
      <c r="J24" s="791"/>
      <c r="K24" s="368">
        <f t="shared" si="3"/>
        <v>0</v>
      </c>
      <c r="L24" s="369" t="str">
        <f t="shared" si="4"/>
        <v>-</v>
      </c>
      <c r="M24" s="791"/>
    </row>
    <row r="25" spans="1:13" x14ac:dyDescent="0.2">
      <c r="A25" s="381">
        <v>11210</v>
      </c>
      <c r="B25" s="382" t="s">
        <v>415</v>
      </c>
      <c r="C25" s="119"/>
      <c r="D25" s="304"/>
      <c r="E25" s="119"/>
      <c r="F25" s="304"/>
      <c r="G25" s="119"/>
      <c r="H25" s="120">
        <f t="shared" si="1"/>
        <v>0</v>
      </c>
      <c r="I25" s="230" t="str">
        <f t="shared" si="2"/>
        <v>-</v>
      </c>
      <c r="J25" s="792"/>
      <c r="K25" s="120">
        <f t="shared" si="3"/>
        <v>0</v>
      </c>
      <c r="L25" s="230" t="str">
        <f t="shared" si="4"/>
        <v>-</v>
      </c>
      <c r="M25" s="792"/>
    </row>
    <row r="26" spans="1:13" x14ac:dyDescent="0.2">
      <c r="A26" s="381">
        <v>11220</v>
      </c>
      <c r="B26" s="382" t="s">
        <v>416</v>
      </c>
      <c r="C26" s="119"/>
      <c r="D26" s="304"/>
      <c r="E26" s="119"/>
      <c r="F26" s="304"/>
      <c r="G26" s="119"/>
      <c r="H26" s="120">
        <f t="shared" si="1"/>
        <v>0</v>
      </c>
      <c r="I26" s="230" t="str">
        <f t="shared" si="2"/>
        <v>-</v>
      </c>
      <c r="J26" s="793"/>
      <c r="K26" s="120">
        <f t="shared" si="3"/>
        <v>0</v>
      </c>
      <c r="L26" s="230" t="str">
        <f t="shared" si="4"/>
        <v>-</v>
      </c>
      <c r="M26" s="793"/>
    </row>
    <row r="27" spans="1:13" ht="19.5" x14ac:dyDescent="0.2">
      <c r="A27" s="374">
        <v>11300</v>
      </c>
      <c r="B27" s="172" t="s">
        <v>186</v>
      </c>
      <c r="C27" s="296">
        <f>SUM(C28:C30)</f>
        <v>1304785.3500000001</v>
      </c>
      <c r="D27" s="310">
        <f t="shared" ref="D27" si="13">SUM(D28:D30)</f>
        <v>1402227</v>
      </c>
      <c r="E27" s="296">
        <v>1304785.3500000001</v>
      </c>
      <c r="F27" s="310">
        <v>1402227</v>
      </c>
      <c r="G27" s="296">
        <f>SUM(G28:G30)</f>
        <v>1403759.4100000001</v>
      </c>
      <c r="H27" s="368">
        <f t="shared" si="1"/>
        <v>1532.410000000149</v>
      </c>
      <c r="I27" s="369">
        <f t="shared" si="2"/>
        <v>1.0928401749503817E-3</v>
      </c>
      <c r="J27" s="800" t="s">
        <v>820</v>
      </c>
      <c r="K27" s="368">
        <f t="shared" si="3"/>
        <v>98974.060000000056</v>
      </c>
      <c r="L27" s="369">
        <f t="shared" si="4"/>
        <v>7.5854668355986712E-2</v>
      </c>
      <c r="M27" s="803" t="s">
        <v>821</v>
      </c>
    </row>
    <row r="28" spans="1:13" ht="37.5" x14ac:dyDescent="0.2">
      <c r="A28" s="377">
        <v>11310</v>
      </c>
      <c r="B28" s="378" t="s">
        <v>144</v>
      </c>
      <c r="C28" s="7">
        <f>1037140.56+1.65</f>
        <v>1037142.2100000001</v>
      </c>
      <c r="D28" s="308">
        <v>1170782</v>
      </c>
      <c r="E28" s="7">
        <v>1037142.2100000001</v>
      </c>
      <c r="F28" s="308">
        <v>1170782</v>
      </c>
      <c r="G28" s="7">
        <f>1070839.34</f>
        <v>1070839.3400000001</v>
      </c>
      <c r="H28" s="84">
        <f t="shared" si="1"/>
        <v>-99942.659999999916</v>
      </c>
      <c r="I28" s="169">
        <f t="shared" si="2"/>
        <v>-8.5364021653903041E-2</v>
      </c>
      <c r="J28" s="801"/>
      <c r="K28" s="84">
        <f t="shared" si="3"/>
        <v>33697.130000000005</v>
      </c>
      <c r="L28" s="169">
        <f t="shared" si="4"/>
        <v>3.2490366002941876E-2</v>
      </c>
      <c r="M28" s="804"/>
    </row>
    <row r="29" spans="1:13" x14ac:dyDescent="0.2">
      <c r="A29" s="377">
        <v>11320</v>
      </c>
      <c r="B29" s="378" t="s">
        <v>145</v>
      </c>
      <c r="C29" s="7"/>
      <c r="D29" s="308"/>
      <c r="E29" s="7"/>
      <c r="F29" s="308"/>
      <c r="G29" s="7"/>
      <c r="H29" s="84">
        <f t="shared" si="1"/>
        <v>0</v>
      </c>
      <c r="I29" s="169" t="str">
        <f t="shared" si="2"/>
        <v>-</v>
      </c>
      <c r="J29" s="801"/>
      <c r="K29" s="84">
        <f t="shared" si="3"/>
        <v>0</v>
      </c>
      <c r="L29" s="169" t="str">
        <f t="shared" si="4"/>
        <v>-</v>
      </c>
      <c r="M29" s="804"/>
    </row>
    <row r="30" spans="1:13" ht="53.25" customHeight="1" x14ac:dyDescent="0.2">
      <c r="A30" s="377">
        <v>11330</v>
      </c>
      <c r="B30" s="378" t="s">
        <v>15</v>
      </c>
      <c r="C30" s="7">
        <f>8.26+208.32+229838.91+36998.39+20.29+7.01+561.96</f>
        <v>267643.14</v>
      </c>
      <c r="D30" s="308">
        <v>231445</v>
      </c>
      <c r="E30" s="7">
        <v>267643.14</v>
      </c>
      <c r="F30" s="308">
        <v>231445</v>
      </c>
      <c r="G30" s="7">
        <f>0.33+41.35+236084.19+369+21811.85+4.51+52+375.13+73376.4+805.31</f>
        <v>332920.07</v>
      </c>
      <c r="H30" s="84">
        <f t="shared" si="1"/>
        <v>101475.07</v>
      </c>
      <c r="I30" s="169">
        <f t="shared" si="2"/>
        <v>0.43844140076476057</v>
      </c>
      <c r="J30" s="802"/>
      <c r="K30" s="84">
        <f t="shared" si="3"/>
        <v>65276.929999999993</v>
      </c>
      <c r="L30" s="169">
        <f t="shared" si="4"/>
        <v>0.2438953974310718</v>
      </c>
      <c r="M30" s="805"/>
    </row>
    <row r="31" spans="1:13" ht="37.5" x14ac:dyDescent="0.2">
      <c r="A31" s="381">
        <v>11400</v>
      </c>
      <c r="B31" s="383" t="s">
        <v>16</v>
      </c>
      <c r="C31" s="297">
        <f>347259.86</f>
        <v>347259.86</v>
      </c>
      <c r="D31" s="311">
        <v>325025</v>
      </c>
      <c r="E31" s="297">
        <v>347259.86</v>
      </c>
      <c r="F31" s="311">
        <v>325025</v>
      </c>
      <c r="G31" s="297">
        <v>317366.83</v>
      </c>
      <c r="H31" s="384">
        <f t="shared" si="1"/>
        <v>-7658.1699999999837</v>
      </c>
      <c r="I31" s="385">
        <f t="shared" si="2"/>
        <v>-2.3561787554803426E-2</v>
      </c>
      <c r="J31" s="666"/>
      <c r="K31" s="554">
        <f t="shared" si="3"/>
        <v>-29893.02999999997</v>
      </c>
      <c r="L31" s="555">
        <f t="shared" si="4"/>
        <v>-8.6082595322131306E-2</v>
      </c>
      <c r="M31" s="667" t="s">
        <v>649</v>
      </c>
    </row>
    <row r="32" spans="1:13" ht="37.5" x14ac:dyDescent="0.2">
      <c r="A32" s="381">
        <v>11500</v>
      </c>
      <c r="B32" s="383" t="s">
        <v>300</v>
      </c>
      <c r="C32" s="297">
        <f>303062.97</f>
        <v>303062.96999999997</v>
      </c>
      <c r="D32" s="311">
        <v>307370</v>
      </c>
      <c r="E32" s="297">
        <v>303062.96999999997</v>
      </c>
      <c r="F32" s="311">
        <v>307370</v>
      </c>
      <c r="G32" s="297">
        <v>286243.15999999997</v>
      </c>
      <c r="H32" s="384">
        <f t="shared" si="1"/>
        <v>-21126.840000000026</v>
      </c>
      <c r="I32" s="385">
        <f t="shared" si="2"/>
        <v>-6.8734229104987554E-2</v>
      </c>
      <c r="J32" s="668" t="s">
        <v>650</v>
      </c>
      <c r="K32" s="554">
        <f t="shared" si="3"/>
        <v>-16819.809999999998</v>
      </c>
      <c r="L32" s="555">
        <f t="shared" si="4"/>
        <v>-5.5499390110246724E-2</v>
      </c>
      <c r="M32" s="668" t="s">
        <v>650</v>
      </c>
    </row>
    <row r="33" spans="1:14" ht="42.75" customHeight="1" x14ac:dyDescent="0.2">
      <c r="A33" s="381">
        <v>11600</v>
      </c>
      <c r="B33" s="386" t="s">
        <v>19</v>
      </c>
      <c r="C33" s="297">
        <f>138903</f>
        <v>138903</v>
      </c>
      <c r="D33" s="311">
        <v>155565</v>
      </c>
      <c r="E33" s="297">
        <v>138903</v>
      </c>
      <c r="F33" s="311">
        <v>155565</v>
      </c>
      <c r="G33" s="297">
        <f>132615.47</f>
        <v>132615.47</v>
      </c>
      <c r="H33" s="384">
        <f t="shared" si="1"/>
        <v>-22949.53</v>
      </c>
      <c r="I33" s="385">
        <f t="shared" si="2"/>
        <v>-0.14752373605888214</v>
      </c>
      <c r="J33" s="667" t="s">
        <v>651</v>
      </c>
      <c r="K33" s="554">
        <f t="shared" si="3"/>
        <v>-6287.5299999999988</v>
      </c>
      <c r="L33" s="555">
        <f t="shared" si="4"/>
        <v>-4.5265617013311436E-2</v>
      </c>
      <c r="M33" s="667" t="s">
        <v>651</v>
      </c>
    </row>
    <row r="34" spans="1:14" ht="19.5" x14ac:dyDescent="0.2">
      <c r="A34" s="373">
        <v>12000</v>
      </c>
      <c r="B34" s="172" t="s">
        <v>187</v>
      </c>
      <c r="C34" s="296">
        <f t="shared" ref="C34:D34" si="14">C35+C42</f>
        <v>18604906.730000004</v>
      </c>
      <c r="D34" s="298">
        <f t="shared" si="14"/>
        <v>21306998</v>
      </c>
      <c r="E34" s="298">
        <v>18604906.730000004</v>
      </c>
      <c r="F34" s="298">
        <v>21306998</v>
      </c>
      <c r="G34" s="296">
        <f>G35+G42</f>
        <v>21839774.260000002</v>
      </c>
      <c r="H34" s="368">
        <f t="shared" si="1"/>
        <v>532776.26000000164</v>
      </c>
      <c r="I34" s="369">
        <f t="shared" si="2"/>
        <v>2.5004754775872304E-2</v>
      </c>
      <c r="J34" s="669"/>
      <c r="K34" s="368">
        <f t="shared" si="3"/>
        <v>3234867.5299999975</v>
      </c>
      <c r="L34" s="369">
        <f t="shared" si="4"/>
        <v>0.17387174130703081</v>
      </c>
      <c r="M34" s="660"/>
    </row>
    <row r="35" spans="1:14" ht="19.5" x14ac:dyDescent="0.2">
      <c r="A35" s="374">
        <v>12100</v>
      </c>
      <c r="B35" s="375" t="s">
        <v>188</v>
      </c>
      <c r="C35" s="296">
        <f>C36+C37+C38+C39+C40+C41</f>
        <v>17309637.660000004</v>
      </c>
      <c r="D35" s="310">
        <f t="shared" ref="D35" si="15">D36+D37+D38+D39+D40+D41</f>
        <v>20432901</v>
      </c>
      <c r="E35" s="296">
        <v>17309637.660000004</v>
      </c>
      <c r="F35" s="310">
        <v>20432901</v>
      </c>
      <c r="G35" s="296">
        <f>G36+G37+G38+G39+G40+G41</f>
        <v>20480995.23</v>
      </c>
      <c r="H35" s="368">
        <f t="shared" si="1"/>
        <v>48094.230000000447</v>
      </c>
      <c r="I35" s="369">
        <f t="shared" si="2"/>
        <v>2.3537641571307203E-3</v>
      </c>
      <c r="J35" s="669"/>
      <c r="K35" s="368">
        <f t="shared" si="3"/>
        <v>3171357.5699999966</v>
      </c>
      <c r="L35" s="369">
        <f t="shared" si="4"/>
        <v>0.18321340008916143</v>
      </c>
      <c r="M35" s="660"/>
    </row>
    <row r="36" spans="1:14" ht="168.75" x14ac:dyDescent="0.2">
      <c r="A36" s="377">
        <v>12110</v>
      </c>
      <c r="B36" s="387" t="s">
        <v>302</v>
      </c>
      <c r="C36" s="7">
        <v>9254843.9600000009</v>
      </c>
      <c r="D36" s="308">
        <v>11132060</v>
      </c>
      <c r="E36" s="7">
        <v>9254843.9600000009</v>
      </c>
      <c r="F36" s="308">
        <v>11132060</v>
      </c>
      <c r="G36" s="7">
        <v>11578365.33</v>
      </c>
      <c r="H36" s="84">
        <f t="shared" si="1"/>
        <v>446305.33000000007</v>
      </c>
      <c r="I36" s="169">
        <f t="shared" si="2"/>
        <v>4.0091890449746058E-2</v>
      </c>
      <c r="J36" s="666"/>
      <c r="K36" s="84">
        <f t="shared" si="3"/>
        <v>2323521.3699999992</v>
      </c>
      <c r="L36" s="169">
        <f t="shared" si="4"/>
        <v>0.25106002651610337</v>
      </c>
      <c r="M36" s="667" t="s">
        <v>772</v>
      </c>
    </row>
    <row r="37" spans="1:14" ht="112.5" x14ac:dyDescent="0.2">
      <c r="A37" s="377">
        <v>12120</v>
      </c>
      <c r="B37" s="387" t="s">
        <v>303</v>
      </c>
      <c r="C37" s="7">
        <v>2130471.46</v>
      </c>
      <c r="D37" s="308">
        <v>2807524</v>
      </c>
      <c r="E37" s="7">
        <v>2130471.46</v>
      </c>
      <c r="F37" s="308">
        <v>2807524</v>
      </c>
      <c r="G37" s="7">
        <v>2889588.29</v>
      </c>
      <c r="H37" s="84">
        <f t="shared" si="1"/>
        <v>82064.290000000037</v>
      </c>
      <c r="I37" s="169">
        <f t="shared" si="2"/>
        <v>2.9230129466391041E-2</v>
      </c>
      <c r="J37" s="666"/>
      <c r="K37" s="84">
        <f t="shared" si="3"/>
        <v>759116.83000000007</v>
      </c>
      <c r="L37" s="169">
        <f t="shared" si="4"/>
        <v>0.35631401042096106</v>
      </c>
      <c r="M37" s="667" t="s">
        <v>771</v>
      </c>
    </row>
    <row r="38" spans="1:14" ht="262.5" x14ac:dyDescent="0.2">
      <c r="A38" s="377">
        <v>12130</v>
      </c>
      <c r="B38" s="387" t="s">
        <v>304</v>
      </c>
      <c r="C38" s="7">
        <v>703.99</v>
      </c>
      <c r="D38" s="308">
        <v>495</v>
      </c>
      <c r="E38" s="7">
        <v>703.99</v>
      </c>
      <c r="F38" s="308">
        <v>495</v>
      </c>
      <c r="G38" s="7">
        <v>270</v>
      </c>
      <c r="H38" s="84">
        <f t="shared" si="1"/>
        <v>-225</v>
      </c>
      <c r="I38" s="169">
        <f t="shared" si="2"/>
        <v>-0.45454545454545453</v>
      </c>
      <c r="J38" s="667" t="s">
        <v>900</v>
      </c>
      <c r="K38" s="84">
        <f t="shared" si="3"/>
        <v>-433.99</v>
      </c>
      <c r="L38" s="169">
        <f t="shared" si="4"/>
        <v>-0.6164718248838762</v>
      </c>
      <c r="M38" s="667" t="s">
        <v>901</v>
      </c>
    </row>
    <row r="39" spans="1:14" ht="300" x14ac:dyDescent="0.2">
      <c r="A39" s="377">
        <v>12140</v>
      </c>
      <c r="B39" s="387" t="s">
        <v>305</v>
      </c>
      <c r="C39" s="7">
        <f>1330215.11+5384.67+2358.78-60</f>
        <v>1337898.56</v>
      </c>
      <c r="D39" s="308">
        <v>1679775</v>
      </c>
      <c r="E39" s="7">
        <v>1337898.56</v>
      </c>
      <c r="F39" s="308">
        <v>1679775</v>
      </c>
      <c r="G39" s="7">
        <f>1574995.05+63.56+6841.86+1416.69</f>
        <v>1583317.1600000001</v>
      </c>
      <c r="H39" s="84">
        <f t="shared" si="1"/>
        <v>-96457.839999999851</v>
      </c>
      <c r="I39" s="169">
        <f t="shared" si="2"/>
        <v>-5.742307154231957E-2</v>
      </c>
      <c r="J39" s="667" t="s">
        <v>905</v>
      </c>
      <c r="K39" s="84">
        <f t="shared" si="3"/>
        <v>245418.60000000009</v>
      </c>
      <c r="L39" s="169">
        <f t="shared" si="4"/>
        <v>0.1834358802209938</v>
      </c>
      <c r="M39" s="667" t="s">
        <v>906</v>
      </c>
    </row>
    <row r="40" spans="1:14" ht="75" x14ac:dyDescent="0.2">
      <c r="A40" s="377">
        <v>12150</v>
      </c>
      <c r="B40" s="387" t="s">
        <v>306</v>
      </c>
      <c r="C40" s="7">
        <f>4585719.42-4270349</f>
        <v>315370.41999999993</v>
      </c>
      <c r="D40" s="308">
        <f>4950087-4559415</f>
        <v>390672</v>
      </c>
      <c r="E40" s="7">
        <v>315370.41999999993</v>
      </c>
      <c r="F40" s="308">
        <v>390672</v>
      </c>
      <c r="G40" s="7">
        <f>4429454.45-4118862.13</f>
        <v>310592.3200000003</v>
      </c>
      <c r="H40" s="84">
        <f t="shared" si="1"/>
        <v>-80079.679999999702</v>
      </c>
      <c r="I40" s="169">
        <f t="shared" si="2"/>
        <v>-0.20497931768849495</v>
      </c>
      <c r="J40" s="667" t="s">
        <v>902</v>
      </c>
      <c r="K40" s="84">
        <f t="shared" si="3"/>
        <v>-4778.0999999996275</v>
      </c>
      <c r="L40" s="169">
        <f t="shared" si="4"/>
        <v>-1.5150755102522388E-2</v>
      </c>
      <c r="M40" s="710"/>
      <c r="N40" s="476"/>
    </row>
    <row r="41" spans="1:14" ht="153" customHeight="1" x14ac:dyDescent="0.2">
      <c r="A41" s="377">
        <v>12160</v>
      </c>
      <c r="B41" s="387" t="s">
        <v>307</v>
      </c>
      <c r="C41" s="7">
        <v>4270349.2699999996</v>
      </c>
      <c r="D41" s="308">
        <f>4559415-137040</f>
        <v>4422375</v>
      </c>
      <c r="E41" s="7">
        <v>4270349.2699999996</v>
      </c>
      <c r="F41" s="308">
        <v>4422375</v>
      </c>
      <c r="G41" s="7">
        <v>4118862.13</v>
      </c>
      <c r="H41" s="84">
        <f t="shared" si="1"/>
        <v>-303512.87000000011</v>
      </c>
      <c r="I41" s="169">
        <f t="shared" si="2"/>
        <v>-6.8631192515333977E-2</v>
      </c>
      <c r="J41" s="711" t="s">
        <v>903</v>
      </c>
      <c r="K41" s="388">
        <f t="shared" si="3"/>
        <v>-151487.13999999966</v>
      </c>
      <c r="L41" s="389">
        <f t="shared" si="4"/>
        <v>-3.5474180312187832E-2</v>
      </c>
      <c r="M41" s="712"/>
    </row>
    <row r="42" spans="1:14" ht="153" customHeight="1" x14ac:dyDescent="0.2">
      <c r="A42" s="374">
        <v>12200</v>
      </c>
      <c r="B42" s="375" t="s">
        <v>189</v>
      </c>
      <c r="C42" s="296">
        <f t="shared" ref="C42:D42" si="16">C43+C44</f>
        <v>1295269.07</v>
      </c>
      <c r="D42" s="310">
        <f t="shared" si="16"/>
        <v>874097</v>
      </c>
      <c r="E42" s="296">
        <v>1295269.07</v>
      </c>
      <c r="F42" s="310">
        <v>874097</v>
      </c>
      <c r="G42" s="296">
        <f>G43+G44</f>
        <v>1358779.03</v>
      </c>
      <c r="H42" s="368">
        <f t="shared" si="1"/>
        <v>484682.03</v>
      </c>
      <c r="I42" s="369">
        <f t="shared" si="2"/>
        <v>0.55449455838425254</v>
      </c>
      <c r="J42" s="713"/>
      <c r="K42" s="368">
        <f t="shared" si="3"/>
        <v>63509.959999999963</v>
      </c>
      <c r="L42" s="369">
        <f t="shared" si="4"/>
        <v>4.9032252426131011E-2</v>
      </c>
      <c r="M42" s="713"/>
    </row>
    <row r="43" spans="1:14" ht="18" customHeight="1" x14ac:dyDescent="0.2">
      <c r="A43" s="377">
        <v>12210</v>
      </c>
      <c r="B43" s="387" t="s">
        <v>308</v>
      </c>
      <c r="C43" s="7"/>
      <c r="D43" s="308"/>
      <c r="E43" s="7"/>
      <c r="F43" s="308"/>
      <c r="G43" s="7"/>
      <c r="H43" s="84">
        <f t="shared" si="1"/>
        <v>0</v>
      </c>
      <c r="I43" s="169" t="str">
        <f t="shared" si="2"/>
        <v>-</v>
      </c>
      <c r="J43" s="713"/>
      <c r="K43" s="84">
        <f t="shared" si="3"/>
        <v>0</v>
      </c>
      <c r="L43" s="169" t="str">
        <f t="shared" si="4"/>
        <v>-</v>
      </c>
      <c r="M43" s="713"/>
    </row>
    <row r="44" spans="1:14" ht="75" x14ac:dyDescent="0.2">
      <c r="A44" s="377">
        <v>12220</v>
      </c>
      <c r="B44" s="387" t="s">
        <v>309</v>
      </c>
      <c r="C44" s="7">
        <f>1295269.07</f>
        <v>1295269.07</v>
      </c>
      <c r="D44" s="308">
        <v>874097</v>
      </c>
      <c r="E44" s="7">
        <v>1295269.07</v>
      </c>
      <c r="F44" s="308">
        <v>874097</v>
      </c>
      <c r="G44" s="7">
        <v>1358779.03</v>
      </c>
      <c r="H44" s="84">
        <f t="shared" si="1"/>
        <v>484682.03</v>
      </c>
      <c r="I44" s="169">
        <f t="shared" si="2"/>
        <v>0.55449455838425254</v>
      </c>
      <c r="J44" s="722" t="s">
        <v>811</v>
      </c>
      <c r="K44" s="390">
        <f t="shared" si="3"/>
        <v>63509.959999999963</v>
      </c>
      <c r="L44" s="391">
        <f t="shared" si="4"/>
        <v>4.9032252426131011E-2</v>
      </c>
      <c r="M44" s="722" t="s">
        <v>907</v>
      </c>
    </row>
    <row r="45" spans="1:14" ht="37.5" x14ac:dyDescent="0.2">
      <c r="A45" s="373">
        <v>13000</v>
      </c>
      <c r="B45" s="392" t="s">
        <v>190</v>
      </c>
      <c r="C45" s="298">
        <f t="shared" ref="C45:G45" si="17">C5-C34</f>
        <v>546421.45999999344</v>
      </c>
      <c r="D45" s="298">
        <f t="shared" si="17"/>
        <v>1043555</v>
      </c>
      <c r="E45" s="298">
        <v>546421.45999999344</v>
      </c>
      <c r="F45" s="298">
        <v>1043555</v>
      </c>
      <c r="G45" s="298">
        <f t="shared" si="17"/>
        <v>101967.03999999538</v>
      </c>
      <c r="H45" s="393">
        <f t="shared" si="1"/>
        <v>-941587.96000000462</v>
      </c>
      <c r="I45" s="394">
        <f t="shared" si="2"/>
        <v>-0.90228877251319251</v>
      </c>
      <c r="J45" s="660"/>
      <c r="K45" s="393">
        <f t="shared" si="3"/>
        <v>-444454.41999999806</v>
      </c>
      <c r="L45" s="394">
        <f t="shared" si="4"/>
        <v>-0.81339122369023242</v>
      </c>
      <c r="M45" s="660"/>
    </row>
    <row r="46" spans="1:14" x14ac:dyDescent="0.2">
      <c r="A46" s="370" t="s">
        <v>196</v>
      </c>
      <c r="B46" s="782" t="s">
        <v>192</v>
      </c>
      <c r="C46" s="782"/>
      <c r="D46" s="782"/>
      <c r="E46" s="782"/>
      <c r="F46" s="782"/>
      <c r="G46" s="782"/>
      <c r="H46" s="782"/>
      <c r="I46" s="372" t="str">
        <f t="shared" si="2"/>
        <v>-</v>
      </c>
      <c r="J46" s="661"/>
      <c r="K46" s="371">
        <f t="shared" si="3"/>
        <v>0</v>
      </c>
      <c r="L46" s="372" t="str">
        <f t="shared" si="4"/>
        <v>-</v>
      </c>
      <c r="M46" s="661"/>
    </row>
    <row r="47" spans="1:14" ht="19.5" x14ac:dyDescent="0.2">
      <c r="A47" s="395">
        <v>14000</v>
      </c>
      <c r="B47" s="396" t="s">
        <v>316</v>
      </c>
      <c r="C47" s="299">
        <f t="shared" ref="C47:G47" si="18">C48+C49+C50+C51+C52</f>
        <v>0</v>
      </c>
      <c r="D47" s="312">
        <f t="shared" si="18"/>
        <v>0</v>
      </c>
      <c r="E47" s="299">
        <v>0</v>
      </c>
      <c r="F47" s="312">
        <v>0</v>
      </c>
      <c r="G47" s="299">
        <f t="shared" si="18"/>
        <v>0</v>
      </c>
      <c r="H47" s="397">
        <f t="shared" ref="H47:H63" si="19">G47-F47</f>
        <v>0</v>
      </c>
      <c r="I47" s="394" t="str">
        <f t="shared" si="2"/>
        <v>-</v>
      </c>
      <c r="J47" s="714"/>
      <c r="K47" s="397">
        <f t="shared" si="3"/>
        <v>0</v>
      </c>
      <c r="L47" s="394" t="str">
        <f t="shared" si="4"/>
        <v>-</v>
      </c>
      <c r="M47" s="714"/>
    </row>
    <row r="48" spans="1:14" ht="75" x14ac:dyDescent="0.2">
      <c r="A48" s="398">
        <v>14100</v>
      </c>
      <c r="B48" s="399" t="s">
        <v>312</v>
      </c>
      <c r="C48" s="300"/>
      <c r="D48" s="313"/>
      <c r="E48" s="300"/>
      <c r="F48" s="313"/>
      <c r="G48" s="300"/>
      <c r="H48" s="400">
        <f t="shared" si="19"/>
        <v>0</v>
      </c>
      <c r="I48" s="385" t="str">
        <f t="shared" si="2"/>
        <v>-</v>
      </c>
      <c r="J48" s="715"/>
      <c r="K48" s="400">
        <f t="shared" si="3"/>
        <v>0</v>
      </c>
      <c r="L48" s="385" t="str">
        <f t="shared" si="4"/>
        <v>-</v>
      </c>
      <c r="M48" s="715"/>
    </row>
    <row r="49" spans="1:13" ht="37.5" customHeight="1" x14ac:dyDescent="0.2">
      <c r="A49" s="398">
        <v>14200</v>
      </c>
      <c r="B49" s="399" t="s">
        <v>193</v>
      </c>
      <c r="C49" s="300"/>
      <c r="D49" s="313"/>
      <c r="E49" s="300"/>
      <c r="F49" s="313"/>
      <c r="G49" s="300"/>
      <c r="H49" s="400">
        <f t="shared" si="19"/>
        <v>0</v>
      </c>
      <c r="I49" s="385" t="str">
        <f t="shared" si="2"/>
        <v>-</v>
      </c>
      <c r="J49" s="715"/>
      <c r="K49" s="400">
        <f t="shared" si="3"/>
        <v>0</v>
      </c>
      <c r="L49" s="385" t="str">
        <f t="shared" si="4"/>
        <v>-</v>
      </c>
      <c r="M49" s="715"/>
    </row>
    <row r="50" spans="1:13" ht="37.5" x14ac:dyDescent="0.2">
      <c r="A50" s="398">
        <v>14300</v>
      </c>
      <c r="B50" s="383" t="s">
        <v>195</v>
      </c>
      <c r="C50" s="300"/>
      <c r="D50" s="313"/>
      <c r="E50" s="300"/>
      <c r="F50" s="313"/>
      <c r="G50" s="300"/>
      <c r="H50" s="400">
        <f t="shared" si="19"/>
        <v>0</v>
      </c>
      <c r="I50" s="385" t="str">
        <f t="shared" si="2"/>
        <v>-</v>
      </c>
      <c r="J50" s="715"/>
      <c r="K50" s="400">
        <f t="shared" si="3"/>
        <v>0</v>
      </c>
      <c r="L50" s="385" t="str">
        <f t="shared" si="4"/>
        <v>-</v>
      </c>
      <c r="M50" s="715"/>
    </row>
    <row r="51" spans="1:13" ht="19.5" x14ac:dyDescent="0.2">
      <c r="A51" s="398">
        <v>14400</v>
      </c>
      <c r="B51" s="383" t="s">
        <v>317</v>
      </c>
      <c r="C51" s="300"/>
      <c r="D51" s="313"/>
      <c r="E51" s="300"/>
      <c r="F51" s="313"/>
      <c r="G51" s="300"/>
      <c r="H51" s="400">
        <f t="shared" si="19"/>
        <v>0</v>
      </c>
      <c r="I51" s="385" t="str">
        <f t="shared" si="2"/>
        <v>-</v>
      </c>
      <c r="J51" s="715"/>
      <c r="K51" s="400">
        <f t="shared" si="3"/>
        <v>0</v>
      </c>
      <c r="L51" s="385" t="str">
        <f t="shared" si="4"/>
        <v>-</v>
      </c>
      <c r="M51" s="715"/>
    </row>
    <row r="52" spans="1:13" ht="19.5" x14ac:dyDescent="0.2">
      <c r="A52" s="398">
        <v>14500</v>
      </c>
      <c r="B52" s="383" t="s">
        <v>318</v>
      </c>
      <c r="C52" s="300"/>
      <c r="D52" s="313"/>
      <c r="E52" s="300"/>
      <c r="F52" s="313"/>
      <c r="G52" s="300"/>
      <c r="H52" s="400">
        <f t="shared" si="19"/>
        <v>0</v>
      </c>
      <c r="I52" s="385" t="str">
        <f t="shared" si="2"/>
        <v>-</v>
      </c>
      <c r="J52" s="715"/>
      <c r="K52" s="400">
        <f t="shared" si="3"/>
        <v>0</v>
      </c>
      <c r="L52" s="385" t="str">
        <f t="shared" si="4"/>
        <v>-</v>
      </c>
      <c r="M52" s="715"/>
    </row>
    <row r="53" spans="1:13" ht="19.5" x14ac:dyDescent="0.2">
      <c r="A53" s="395">
        <v>15000</v>
      </c>
      <c r="B53" s="401" t="s">
        <v>319</v>
      </c>
      <c r="C53" s="299">
        <f t="shared" ref="C53:F53" ca="1" si="20">C54+C55+C104</f>
        <v>1784741</v>
      </c>
      <c r="D53" s="299">
        <f t="shared" ca="1" si="20"/>
        <v>898524</v>
      </c>
      <c r="E53" s="299">
        <f t="shared" si="20"/>
        <v>1784741</v>
      </c>
      <c r="F53" s="299">
        <f t="shared" si="20"/>
        <v>898524</v>
      </c>
      <c r="G53" s="299">
        <f ca="1">G54+G55+G104</f>
        <v>1411171</v>
      </c>
      <c r="H53" s="397">
        <f t="shared" ca="1" si="19"/>
        <v>512647</v>
      </c>
      <c r="I53" s="394">
        <f t="shared" ca="1" si="2"/>
        <v>0.57054346906704778</v>
      </c>
      <c r="J53" s="714"/>
      <c r="K53" s="397">
        <f t="shared" ca="1" si="3"/>
        <v>-373570</v>
      </c>
      <c r="L53" s="394">
        <f t="shared" ca="1" si="4"/>
        <v>-0.2093132841123726</v>
      </c>
      <c r="M53" s="714"/>
    </row>
    <row r="54" spans="1:13" ht="56.25" x14ac:dyDescent="0.2">
      <c r="A54" s="398">
        <v>15100</v>
      </c>
      <c r="B54" s="399" t="s">
        <v>311</v>
      </c>
      <c r="C54" s="300"/>
      <c r="D54" s="313"/>
      <c r="E54" s="300"/>
      <c r="F54" s="313"/>
      <c r="G54" s="300"/>
      <c r="H54" s="400">
        <f t="shared" si="19"/>
        <v>0</v>
      </c>
      <c r="I54" s="385" t="str">
        <f t="shared" si="2"/>
        <v>-</v>
      </c>
      <c r="J54" s="715"/>
      <c r="K54" s="400">
        <f t="shared" si="3"/>
        <v>0</v>
      </c>
      <c r="L54" s="385" t="str">
        <f t="shared" si="4"/>
        <v>-</v>
      </c>
      <c r="M54" s="715"/>
    </row>
    <row r="55" spans="1:13" ht="40.5" x14ac:dyDescent="0.2">
      <c r="A55" s="398">
        <v>15200</v>
      </c>
      <c r="B55" s="399" t="s">
        <v>799</v>
      </c>
      <c r="C55" s="505">
        <f t="shared" ref="C55:F55" ca="1" si="21">C56+C72+C88</f>
        <v>1784741</v>
      </c>
      <c r="D55" s="505">
        <f t="shared" ca="1" si="21"/>
        <v>898524</v>
      </c>
      <c r="E55" s="505">
        <f t="shared" si="21"/>
        <v>1784741</v>
      </c>
      <c r="F55" s="505">
        <f t="shared" si="21"/>
        <v>898524</v>
      </c>
      <c r="G55" s="505">
        <f ca="1">G56+G72+G88</f>
        <v>1411171</v>
      </c>
      <c r="H55" s="506">
        <f t="shared" ca="1" si="19"/>
        <v>512647</v>
      </c>
      <c r="I55" s="507">
        <f t="shared" ca="1" si="2"/>
        <v>0.57054346906704778</v>
      </c>
      <c r="J55" s="714"/>
      <c r="K55" s="506">
        <f t="shared" ca="1" si="3"/>
        <v>-373570</v>
      </c>
      <c r="L55" s="507">
        <f t="shared" ca="1" si="4"/>
        <v>-0.2093132841123726</v>
      </c>
      <c r="M55" s="714"/>
    </row>
    <row r="56" spans="1:13" ht="19.5" customHeight="1" x14ac:dyDescent="0.2">
      <c r="A56" s="508">
        <v>15210</v>
      </c>
      <c r="B56" s="106" t="s">
        <v>315</v>
      </c>
      <c r="C56" s="503">
        <f t="shared" ref="C56:G56" ca="1" si="22">C57+C60+C63+C66+C69</f>
        <v>0</v>
      </c>
      <c r="D56" s="503">
        <f t="shared" ca="1" si="22"/>
        <v>0</v>
      </c>
      <c r="E56" s="503">
        <v>0</v>
      </c>
      <c r="F56" s="503">
        <v>0</v>
      </c>
      <c r="G56" s="503">
        <f t="shared" ca="1" si="22"/>
        <v>47069</v>
      </c>
      <c r="H56" s="504">
        <f t="shared" ca="1" si="19"/>
        <v>47069</v>
      </c>
      <c r="I56" s="369" t="str">
        <f t="shared" ca="1" si="2"/>
        <v>-</v>
      </c>
      <c r="J56" s="784" t="s">
        <v>908</v>
      </c>
      <c r="K56" s="504">
        <f t="shared" ca="1" si="3"/>
        <v>47069</v>
      </c>
      <c r="L56" s="369" t="str">
        <f t="shared" ca="1" si="4"/>
        <v>-</v>
      </c>
      <c r="M56" s="784" t="s">
        <v>909</v>
      </c>
    </row>
    <row r="57" spans="1:13" ht="56.25" x14ac:dyDescent="0.2">
      <c r="A57" s="153">
        <v>15211</v>
      </c>
      <c r="B57" s="387" t="s">
        <v>562</v>
      </c>
      <c r="C57" s="301">
        <f ca="1">SUM(OFFSET(C60,-1,0):OFFSET(C57,1,0))</f>
        <v>0</v>
      </c>
      <c r="D57" s="314">
        <f ca="1">SUM(OFFSET(D60,-1,0):OFFSET(D57,1,0))</f>
        <v>0</v>
      </c>
      <c r="E57" s="301">
        <v>0</v>
      </c>
      <c r="F57" s="314">
        <v>0</v>
      </c>
      <c r="G57" s="301">
        <f ca="1">SUM(OFFSET(G60,-1,0):OFFSET(G57,1,0))</f>
        <v>0</v>
      </c>
      <c r="H57" s="402">
        <f t="shared" ca="1" si="19"/>
        <v>0</v>
      </c>
      <c r="I57" s="403" t="str">
        <f t="shared" ca="1" si="2"/>
        <v>-</v>
      </c>
      <c r="J57" s="785"/>
      <c r="K57" s="402">
        <f t="shared" ca="1" si="3"/>
        <v>0</v>
      </c>
      <c r="L57" s="403" t="str">
        <f t="shared" ca="1" si="4"/>
        <v>-</v>
      </c>
      <c r="M57" s="785"/>
    </row>
    <row r="58" spans="1:13" s="66" customFormat="1" ht="18.75" customHeight="1" x14ac:dyDescent="0.2">
      <c r="A58" s="22"/>
      <c r="B58" s="21"/>
      <c r="C58" s="71"/>
      <c r="D58" s="20"/>
      <c r="E58" s="71"/>
      <c r="F58" s="20"/>
      <c r="G58" s="71"/>
      <c r="H58" s="92">
        <f t="shared" si="19"/>
        <v>0</v>
      </c>
      <c r="I58" s="121" t="str">
        <f t="shared" si="2"/>
        <v>-</v>
      </c>
      <c r="J58" s="785"/>
      <c r="K58" s="92">
        <f t="shared" si="3"/>
        <v>0</v>
      </c>
      <c r="L58" s="121" t="str">
        <f t="shared" si="4"/>
        <v>-</v>
      </c>
      <c r="M58" s="785"/>
    </row>
    <row r="59" spans="1:13" s="66" customFormat="1" x14ac:dyDescent="0.2">
      <c r="A59" s="22"/>
      <c r="B59" s="21"/>
      <c r="C59" s="71"/>
      <c r="D59" s="20"/>
      <c r="E59" s="71"/>
      <c r="F59" s="20"/>
      <c r="G59" s="71"/>
      <c r="H59" s="92">
        <f t="shared" si="19"/>
        <v>0</v>
      </c>
      <c r="I59" s="121" t="str">
        <f t="shared" si="2"/>
        <v>-</v>
      </c>
      <c r="J59" s="785"/>
      <c r="K59" s="92">
        <f t="shared" si="3"/>
        <v>0</v>
      </c>
      <c r="L59" s="121" t="str">
        <f t="shared" si="4"/>
        <v>-</v>
      </c>
      <c r="M59" s="785"/>
    </row>
    <row r="60" spans="1:13" ht="56.25" x14ac:dyDescent="0.2">
      <c r="A60" s="153">
        <v>15212</v>
      </c>
      <c r="B60" s="387" t="s">
        <v>563</v>
      </c>
      <c r="C60" s="301">
        <f ca="1">SUM(OFFSET(C63,-1,0):OFFSET(C60,1,0))</f>
        <v>0</v>
      </c>
      <c r="D60" s="314">
        <f ca="1">SUM(OFFSET(D63,-1,0):OFFSET(D60,1,0))</f>
        <v>0</v>
      </c>
      <c r="E60" s="301">
        <v>0</v>
      </c>
      <c r="F60" s="314">
        <v>0</v>
      </c>
      <c r="G60" s="301">
        <f ca="1">SUM(OFFSET(G63,-1,0):OFFSET(G60,1,0))</f>
        <v>0</v>
      </c>
      <c r="H60" s="402">
        <f t="shared" ca="1" si="19"/>
        <v>0</v>
      </c>
      <c r="I60" s="403" t="str">
        <f t="shared" ca="1" si="2"/>
        <v>-</v>
      </c>
      <c r="J60" s="785"/>
      <c r="K60" s="402">
        <f t="shared" ca="1" si="3"/>
        <v>0</v>
      </c>
      <c r="L60" s="403" t="str">
        <f t="shared" ca="1" si="4"/>
        <v>-</v>
      </c>
      <c r="M60" s="785"/>
    </row>
    <row r="61" spans="1:13" s="66" customFormat="1" ht="18.75" customHeight="1" x14ac:dyDescent="0.2">
      <c r="A61" s="22"/>
      <c r="B61" s="21"/>
      <c r="C61" s="71"/>
      <c r="D61" s="20"/>
      <c r="E61" s="71"/>
      <c r="F61" s="20"/>
      <c r="G61" s="71"/>
      <c r="H61" s="92">
        <f t="shared" si="19"/>
        <v>0</v>
      </c>
      <c r="I61" s="121" t="str">
        <f t="shared" si="2"/>
        <v>-</v>
      </c>
      <c r="J61" s="785"/>
      <c r="K61" s="92">
        <f t="shared" si="3"/>
        <v>0</v>
      </c>
      <c r="L61" s="121" t="str">
        <f t="shared" si="4"/>
        <v>-</v>
      </c>
      <c r="M61" s="785"/>
    </row>
    <row r="62" spans="1:13" s="66" customFormat="1" x14ac:dyDescent="0.2">
      <c r="A62" s="22"/>
      <c r="B62" s="21"/>
      <c r="C62" s="71"/>
      <c r="D62" s="20"/>
      <c r="E62" s="71"/>
      <c r="F62" s="20"/>
      <c r="G62" s="71"/>
      <c r="H62" s="92">
        <f t="shared" si="19"/>
        <v>0</v>
      </c>
      <c r="I62" s="121" t="str">
        <f t="shared" si="2"/>
        <v>-</v>
      </c>
      <c r="J62" s="785"/>
      <c r="K62" s="92">
        <f t="shared" si="3"/>
        <v>0</v>
      </c>
      <c r="L62" s="121" t="str">
        <f t="shared" si="4"/>
        <v>-</v>
      </c>
      <c r="M62" s="785"/>
    </row>
    <row r="63" spans="1:13" ht="56.25" x14ac:dyDescent="0.2">
      <c r="A63" s="153">
        <v>15213</v>
      </c>
      <c r="B63" s="387" t="s">
        <v>564</v>
      </c>
      <c r="C63" s="301">
        <f ca="1">SUM(OFFSET(C66,-1,0):OFFSET(C63,1,0))</f>
        <v>0</v>
      </c>
      <c r="D63" s="314">
        <f ca="1">SUM(OFFSET(D66,-1,0):OFFSET(D63,1,0))</f>
        <v>0</v>
      </c>
      <c r="E63" s="301">
        <v>0</v>
      </c>
      <c r="F63" s="314">
        <v>0</v>
      </c>
      <c r="G63" s="301">
        <f ca="1">SUM(OFFSET(G66,-1,0):OFFSET(G63,1,0))</f>
        <v>0</v>
      </c>
      <c r="H63" s="402">
        <f t="shared" ca="1" si="19"/>
        <v>0</v>
      </c>
      <c r="I63" s="403" t="str">
        <f t="shared" ca="1" si="2"/>
        <v>-</v>
      </c>
      <c r="J63" s="785"/>
      <c r="K63" s="402">
        <f t="shared" ca="1" si="3"/>
        <v>0</v>
      </c>
      <c r="L63" s="403" t="str">
        <f t="shared" ca="1" si="4"/>
        <v>-</v>
      </c>
      <c r="M63" s="785"/>
    </row>
    <row r="64" spans="1:13" s="66" customFormat="1" ht="39.75" customHeight="1" x14ac:dyDescent="0.2">
      <c r="A64" s="22"/>
      <c r="B64" s="21"/>
      <c r="C64" s="20"/>
      <c r="D64" s="20"/>
      <c r="E64" s="20"/>
      <c r="F64" s="20"/>
      <c r="G64" s="20"/>
      <c r="H64" s="92"/>
      <c r="I64" s="121" t="str">
        <f t="shared" si="2"/>
        <v>-</v>
      </c>
      <c r="J64" s="785"/>
      <c r="K64" s="92">
        <f t="shared" si="3"/>
        <v>0</v>
      </c>
      <c r="L64" s="121" t="str">
        <f t="shared" si="4"/>
        <v>-</v>
      </c>
      <c r="M64" s="785"/>
    </row>
    <row r="65" spans="1:13" s="66" customFormat="1" ht="39.75" customHeight="1" x14ac:dyDescent="0.2">
      <c r="A65" s="22"/>
      <c r="B65" s="21"/>
      <c r="C65" s="71"/>
      <c r="D65" s="20"/>
      <c r="E65" s="71"/>
      <c r="F65" s="20"/>
      <c r="G65" s="71"/>
      <c r="H65" s="92">
        <f t="shared" ref="H65:H105" si="23">G65-F65</f>
        <v>0</v>
      </c>
      <c r="I65" s="121" t="str">
        <f t="shared" si="2"/>
        <v>-</v>
      </c>
      <c r="J65" s="785"/>
      <c r="K65" s="92">
        <f t="shared" si="3"/>
        <v>0</v>
      </c>
      <c r="L65" s="121" t="str">
        <f t="shared" si="4"/>
        <v>-</v>
      </c>
      <c r="M65" s="785"/>
    </row>
    <row r="66" spans="1:13" ht="37.5" x14ac:dyDescent="0.2">
      <c r="A66" s="153">
        <v>15214</v>
      </c>
      <c r="B66" s="387" t="s">
        <v>565</v>
      </c>
      <c r="C66" s="301">
        <f ca="1">SUM(OFFSET(C69,-1,0):OFFSET(C66,1,0))</f>
        <v>0</v>
      </c>
      <c r="D66" s="314">
        <f ca="1">SUM(OFFSET(D69,-1,0):OFFSET(D66,1,0))</f>
        <v>0</v>
      </c>
      <c r="E66" s="301">
        <v>0</v>
      </c>
      <c r="F66" s="314">
        <v>0</v>
      </c>
      <c r="G66" s="301">
        <f ca="1">SUM(OFFSET(G69,-1,0):OFFSET(G66,1,0))</f>
        <v>0</v>
      </c>
      <c r="H66" s="402">
        <f t="shared" ca="1" si="23"/>
        <v>0</v>
      </c>
      <c r="I66" s="403" t="str">
        <f t="shared" ca="1" si="2"/>
        <v>-</v>
      </c>
      <c r="J66" s="785"/>
      <c r="K66" s="402">
        <f t="shared" ca="1" si="3"/>
        <v>0</v>
      </c>
      <c r="L66" s="403" t="str">
        <f t="shared" ca="1" si="4"/>
        <v>-</v>
      </c>
      <c r="M66" s="785"/>
    </row>
    <row r="67" spans="1:13" s="66" customFormat="1" ht="18.75" customHeight="1" x14ac:dyDescent="0.2">
      <c r="A67" s="22"/>
      <c r="B67" s="21"/>
      <c r="C67" s="71"/>
      <c r="D67" s="20"/>
      <c r="E67" s="71"/>
      <c r="F67" s="20"/>
      <c r="G67" s="71"/>
      <c r="H67" s="92">
        <f t="shared" si="23"/>
        <v>0</v>
      </c>
      <c r="I67" s="121" t="str">
        <f t="shared" si="2"/>
        <v>-</v>
      </c>
      <c r="J67" s="785"/>
      <c r="K67" s="92">
        <f t="shared" si="3"/>
        <v>0</v>
      </c>
      <c r="L67" s="121" t="str">
        <f t="shared" si="4"/>
        <v>-</v>
      </c>
      <c r="M67" s="785"/>
    </row>
    <row r="68" spans="1:13" s="66" customFormat="1" x14ac:dyDescent="0.2">
      <c r="A68" s="22"/>
      <c r="B68" s="21"/>
      <c r="C68" s="71"/>
      <c r="D68" s="20"/>
      <c r="E68" s="71"/>
      <c r="F68" s="20"/>
      <c r="G68" s="71"/>
      <c r="H68" s="92">
        <f t="shared" si="23"/>
        <v>0</v>
      </c>
      <c r="I68" s="121" t="str">
        <f t="shared" si="2"/>
        <v>-</v>
      </c>
      <c r="J68" s="785"/>
      <c r="K68" s="92">
        <f t="shared" si="3"/>
        <v>0</v>
      </c>
      <c r="L68" s="121" t="str">
        <f t="shared" si="4"/>
        <v>-</v>
      </c>
      <c r="M68" s="785"/>
    </row>
    <row r="69" spans="1:13" ht="37.5" x14ac:dyDescent="0.2">
      <c r="A69" s="153">
        <v>15215</v>
      </c>
      <c r="B69" s="387" t="s">
        <v>566</v>
      </c>
      <c r="C69" s="301">
        <f ca="1">SUM(OFFSET(C72,-1,0):OFFSET(C69,1,0))</f>
        <v>0</v>
      </c>
      <c r="D69" s="314">
        <f ca="1">SUM(OFFSET(D72,-1,0):OFFSET(D69,1,0))</f>
        <v>0</v>
      </c>
      <c r="E69" s="301">
        <v>0</v>
      </c>
      <c r="F69" s="314">
        <v>0</v>
      </c>
      <c r="G69" s="301">
        <v>47069</v>
      </c>
      <c r="H69" s="402">
        <f t="shared" si="23"/>
        <v>47069</v>
      </c>
      <c r="I69" s="403" t="str">
        <f t="shared" ref="I69:I132" si="24">IFERROR(H69/ABS(F69), "-")</f>
        <v>-</v>
      </c>
      <c r="J69" s="785"/>
      <c r="K69" s="402">
        <f t="shared" ref="K69:K105" si="25">G69-E69</f>
        <v>47069</v>
      </c>
      <c r="L69" s="403" t="str">
        <f t="shared" ref="L69:L132" si="26">IFERROR(K69/ABS(E69), "-")</f>
        <v>-</v>
      </c>
      <c r="M69" s="785"/>
    </row>
    <row r="70" spans="1:13" s="66" customFormat="1" ht="18.75" customHeight="1" x14ac:dyDescent="0.2">
      <c r="A70" s="22"/>
      <c r="B70" s="21"/>
      <c r="C70" s="71"/>
      <c r="D70" s="20"/>
      <c r="E70" s="71"/>
      <c r="F70" s="20"/>
      <c r="G70" s="71"/>
      <c r="H70" s="92">
        <f t="shared" si="23"/>
        <v>0</v>
      </c>
      <c r="I70" s="121" t="str">
        <f t="shared" si="24"/>
        <v>-</v>
      </c>
      <c r="J70" s="785"/>
      <c r="K70" s="92">
        <f t="shared" si="25"/>
        <v>0</v>
      </c>
      <c r="L70" s="121" t="str">
        <f t="shared" si="26"/>
        <v>-</v>
      </c>
      <c r="M70" s="785"/>
    </row>
    <row r="71" spans="1:13" s="66" customFormat="1" x14ac:dyDescent="0.2">
      <c r="A71" s="22"/>
      <c r="B71" s="21"/>
      <c r="C71" s="71">
        <v>0</v>
      </c>
      <c r="D71" s="20">
        <v>0</v>
      </c>
      <c r="E71" s="71">
        <v>0</v>
      </c>
      <c r="F71" s="20">
        <v>0</v>
      </c>
      <c r="G71" s="71"/>
      <c r="H71" s="92">
        <f t="shared" si="23"/>
        <v>0</v>
      </c>
      <c r="I71" s="121" t="str">
        <f t="shared" si="24"/>
        <v>-</v>
      </c>
      <c r="J71" s="786"/>
      <c r="K71" s="92">
        <f t="shared" si="25"/>
        <v>0</v>
      </c>
      <c r="L71" s="121" t="str">
        <f t="shared" si="26"/>
        <v>-</v>
      </c>
      <c r="M71" s="786"/>
    </row>
    <row r="72" spans="1:13" ht="19.5" customHeight="1" x14ac:dyDescent="0.2">
      <c r="A72" s="508">
        <v>15220</v>
      </c>
      <c r="B72" s="106" t="s">
        <v>313</v>
      </c>
      <c r="C72" s="503">
        <f t="shared" ref="C72:G72" ca="1" si="27">C73+C76+C79+C82+C85</f>
        <v>750339</v>
      </c>
      <c r="D72" s="503">
        <f t="shared" ca="1" si="27"/>
        <v>898524</v>
      </c>
      <c r="E72" s="503">
        <f t="shared" si="27"/>
        <v>750339</v>
      </c>
      <c r="F72" s="503">
        <f t="shared" si="27"/>
        <v>898524</v>
      </c>
      <c r="G72" s="503">
        <f t="shared" ca="1" si="27"/>
        <v>849241</v>
      </c>
      <c r="H72" s="504">
        <f t="shared" ca="1" si="23"/>
        <v>-49283</v>
      </c>
      <c r="I72" s="369">
        <f ca="1">IFERROR(H72/ABS(F72), "-")</f>
        <v>-5.4848840988109389E-2</v>
      </c>
      <c r="J72" s="787" t="s">
        <v>910</v>
      </c>
      <c r="K72" s="504">
        <f t="shared" ca="1" si="25"/>
        <v>98902</v>
      </c>
      <c r="L72" s="369">
        <f t="shared" ca="1" si="26"/>
        <v>0.13180975532392691</v>
      </c>
      <c r="M72" s="806" t="s">
        <v>862</v>
      </c>
    </row>
    <row r="73" spans="1:13" ht="56.25" x14ac:dyDescent="0.2">
      <c r="A73" s="153">
        <v>15221</v>
      </c>
      <c r="B73" s="387" t="s">
        <v>567</v>
      </c>
      <c r="C73" s="301">
        <f ca="1">SUM(OFFSET(C76,-1,0):OFFSET(C73,1,0))</f>
        <v>0</v>
      </c>
      <c r="D73" s="314">
        <f ca="1">SUM(OFFSET(D76,-1,0):OFFSET(D73,1,0))</f>
        <v>0</v>
      </c>
      <c r="E73" s="301">
        <v>0</v>
      </c>
      <c r="F73" s="314">
        <v>0</v>
      </c>
      <c r="G73" s="301">
        <f ca="1">SUM(OFFSET(G76,-1,0):OFFSET(G73,1,0))</f>
        <v>0</v>
      </c>
      <c r="H73" s="402">
        <f t="shared" ca="1" si="23"/>
        <v>0</v>
      </c>
      <c r="I73" s="403" t="str">
        <f t="shared" ca="1" si="24"/>
        <v>-</v>
      </c>
      <c r="J73" s="787"/>
      <c r="K73" s="402">
        <f t="shared" ca="1" si="25"/>
        <v>0</v>
      </c>
      <c r="L73" s="403" t="str">
        <f t="shared" ca="1" si="26"/>
        <v>-</v>
      </c>
      <c r="M73" s="807"/>
    </row>
    <row r="74" spans="1:13" s="66" customFormat="1" x14ac:dyDescent="0.2">
      <c r="A74" s="22"/>
      <c r="B74" s="21"/>
      <c r="C74" s="71"/>
      <c r="D74" s="20"/>
      <c r="E74" s="71"/>
      <c r="F74" s="20"/>
      <c r="G74" s="71"/>
      <c r="H74" s="92">
        <f t="shared" si="23"/>
        <v>0</v>
      </c>
      <c r="I74" s="121" t="str">
        <f t="shared" si="24"/>
        <v>-</v>
      </c>
      <c r="J74" s="787"/>
      <c r="K74" s="92">
        <f t="shared" si="25"/>
        <v>0</v>
      </c>
      <c r="L74" s="121" t="str">
        <f t="shared" si="26"/>
        <v>-</v>
      </c>
      <c r="M74" s="807"/>
    </row>
    <row r="75" spans="1:13" s="66" customFormat="1" x14ac:dyDescent="0.2">
      <c r="A75" s="22"/>
      <c r="B75" s="21"/>
      <c r="C75" s="71"/>
      <c r="D75" s="20"/>
      <c r="E75" s="71"/>
      <c r="F75" s="20"/>
      <c r="G75" s="71"/>
      <c r="H75" s="92">
        <f t="shared" si="23"/>
        <v>0</v>
      </c>
      <c r="I75" s="121" t="str">
        <f t="shared" si="24"/>
        <v>-</v>
      </c>
      <c r="J75" s="787"/>
      <c r="K75" s="92">
        <f t="shared" si="25"/>
        <v>0</v>
      </c>
      <c r="L75" s="121" t="str">
        <f t="shared" si="26"/>
        <v>-</v>
      </c>
      <c r="M75" s="807"/>
    </row>
    <row r="76" spans="1:13" ht="56.25" x14ac:dyDescent="0.2">
      <c r="A76" s="153">
        <v>15222</v>
      </c>
      <c r="B76" s="387" t="s">
        <v>563</v>
      </c>
      <c r="C76" s="301">
        <f ca="1">SUM(OFFSET(C79,-1,0):OFFSET(C76,1,0))</f>
        <v>0</v>
      </c>
      <c r="D76" s="314">
        <f ca="1">SUM(OFFSET(D79,-1,0):OFFSET(D76,1,0))</f>
        <v>0</v>
      </c>
      <c r="E76" s="301">
        <v>0</v>
      </c>
      <c r="F76" s="314">
        <v>0</v>
      </c>
      <c r="G76" s="301">
        <f ca="1">SUM(OFFSET(G79,-1,0):OFFSET(G76,1,0))</f>
        <v>0</v>
      </c>
      <c r="H76" s="402">
        <f t="shared" ca="1" si="23"/>
        <v>0</v>
      </c>
      <c r="I76" s="403" t="str">
        <f t="shared" ca="1" si="24"/>
        <v>-</v>
      </c>
      <c r="J76" s="787"/>
      <c r="K76" s="402">
        <f t="shared" ca="1" si="25"/>
        <v>0</v>
      </c>
      <c r="L76" s="403" t="str">
        <f t="shared" ca="1" si="26"/>
        <v>-</v>
      </c>
      <c r="M76" s="807"/>
    </row>
    <row r="77" spans="1:13" s="66" customFormat="1" x14ac:dyDescent="0.2">
      <c r="A77" s="22"/>
      <c r="B77" s="21"/>
      <c r="C77" s="71"/>
      <c r="D77" s="20"/>
      <c r="E77" s="71"/>
      <c r="F77" s="20"/>
      <c r="G77" s="71"/>
      <c r="H77" s="92">
        <f t="shared" si="23"/>
        <v>0</v>
      </c>
      <c r="I77" s="121" t="str">
        <f t="shared" si="24"/>
        <v>-</v>
      </c>
      <c r="J77" s="787"/>
      <c r="K77" s="92">
        <f t="shared" si="25"/>
        <v>0</v>
      </c>
      <c r="L77" s="121" t="str">
        <f t="shared" si="26"/>
        <v>-</v>
      </c>
      <c r="M77" s="807"/>
    </row>
    <row r="78" spans="1:13" s="66" customFormat="1" x14ac:dyDescent="0.2">
      <c r="A78" s="22"/>
      <c r="B78" s="21"/>
      <c r="C78" s="71"/>
      <c r="D78" s="20"/>
      <c r="E78" s="71"/>
      <c r="F78" s="20"/>
      <c r="G78" s="71"/>
      <c r="H78" s="92">
        <f t="shared" si="23"/>
        <v>0</v>
      </c>
      <c r="I78" s="121" t="str">
        <f t="shared" si="24"/>
        <v>-</v>
      </c>
      <c r="J78" s="787"/>
      <c r="K78" s="92">
        <f t="shared" si="25"/>
        <v>0</v>
      </c>
      <c r="L78" s="121" t="str">
        <f t="shared" si="26"/>
        <v>-</v>
      </c>
      <c r="M78" s="807"/>
    </row>
    <row r="79" spans="1:13" ht="39" customHeight="1" x14ac:dyDescent="0.2">
      <c r="A79" s="153">
        <v>15223</v>
      </c>
      <c r="B79" s="387" t="s">
        <v>564</v>
      </c>
      <c r="C79" s="301">
        <f ca="1">SUM(OFFSET(C82,-1,0):OFFSET(C79,1,0))</f>
        <v>0</v>
      </c>
      <c r="D79" s="314">
        <f ca="1">SUM(OFFSET(D82,-1,0):OFFSET(D79,1,0))</f>
        <v>0</v>
      </c>
      <c r="E79" s="301">
        <v>0</v>
      </c>
      <c r="F79" s="314">
        <v>0</v>
      </c>
      <c r="G79" s="301">
        <f ca="1">SUM(OFFSET(G82,-1,0):OFFSET(G79,1,0))</f>
        <v>0</v>
      </c>
      <c r="H79" s="402">
        <f t="shared" ca="1" si="23"/>
        <v>0</v>
      </c>
      <c r="I79" s="403" t="str">
        <f t="shared" ca="1" si="24"/>
        <v>-</v>
      </c>
      <c r="J79" s="787"/>
      <c r="K79" s="402">
        <f t="shared" ca="1" si="25"/>
        <v>0</v>
      </c>
      <c r="L79" s="403" t="str">
        <f t="shared" ca="1" si="26"/>
        <v>-</v>
      </c>
      <c r="M79" s="807"/>
    </row>
    <row r="80" spans="1:13" s="66" customFormat="1" ht="39" customHeight="1" x14ac:dyDescent="0.2">
      <c r="A80" s="22"/>
      <c r="B80" s="21"/>
      <c r="C80" s="71"/>
      <c r="D80" s="20"/>
      <c r="E80" s="71"/>
      <c r="F80" s="20"/>
      <c r="G80" s="71"/>
      <c r="H80" s="92">
        <f t="shared" si="23"/>
        <v>0</v>
      </c>
      <c r="I80" s="121" t="str">
        <f t="shared" si="24"/>
        <v>-</v>
      </c>
      <c r="J80" s="787"/>
      <c r="K80" s="92">
        <f t="shared" si="25"/>
        <v>0</v>
      </c>
      <c r="L80" s="121" t="str">
        <f t="shared" si="26"/>
        <v>-</v>
      </c>
      <c r="M80" s="807"/>
    </row>
    <row r="81" spans="1:13" s="66" customFormat="1" ht="39" customHeight="1" x14ac:dyDescent="0.2">
      <c r="A81" s="22"/>
      <c r="B81" s="21"/>
      <c r="C81" s="71"/>
      <c r="D81" s="20"/>
      <c r="E81" s="71"/>
      <c r="F81" s="20"/>
      <c r="G81" s="71"/>
      <c r="H81" s="92">
        <f t="shared" si="23"/>
        <v>0</v>
      </c>
      <c r="I81" s="121" t="str">
        <f t="shared" si="24"/>
        <v>-</v>
      </c>
      <c r="J81" s="787"/>
      <c r="K81" s="92">
        <f t="shared" si="25"/>
        <v>0</v>
      </c>
      <c r="L81" s="121" t="str">
        <f t="shared" si="26"/>
        <v>-</v>
      </c>
      <c r="M81" s="807"/>
    </row>
    <row r="82" spans="1:13" ht="37.5" x14ac:dyDescent="0.2">
      <c r="A82" s="153">
        <v>15224</v>
      </c>
      <c r="B82" s="387" t="s">
        <v>565</v>
      </c>
      <c r="C82" s="301">
        <f ca="1">SUM(OFFSET(C85,-1,0):OFFSET(C82,1,0))</f>
        <v>0</v>
      </c>
      <c r="D82" s="314">
        <f ca="1">SUM(OFFSET(D85,-1,0):OFFSET(D82,1,0))</f>
        <v>0</v>
      </c>
      <c r="E82" s="301">
        <v>0</v>
      </c>
      <c r="F82" s="314">
        <v>0</v>
      </c>
      <c r="G82" s="301">
        <f ca="1">SUM(OFFSET(G85,-1,0):OFFSET(G82,1,0))</f>
        <v>0</v>
      </c>
      <c r="H82" s="402">
        <f t="shared" ca="1" si="23"/>
        <v>0</v>
      </c>
      <c r="I82" s="403" t="str">
        <f t="shared" ca="1" si="24"/>
        <v>-</v>
      </c>
      <c r="J82" s="787"/>
      <c r="K82" s="402">
        <f t="shared" ca="1" si="25"/>
        <v>0</v>
      </c>
      <c r="L82" s="403" t="str">
        <f t="shared" ca="1" si="26"/>
        <v>-</v>
      </c>
      <c r="M82" s="807"/>
    </row>
    <row r="83" spans="1:13" s="66" customFormat="1" x14ac:dyDescent="0.2">
      <c r="A83" s="22"/>
      <c r="B83" s="21"/>
      <c r="C83" s="71"/>
      <c r="D83" s="20"/>
      <c r="E83" s="71"/>
      <c r="F83" s="20"/>
      <c r="G83" s="71"/>
      <c r="H83" s="92">
        <f t="shared" si="23"/>
        <v>0</v>
      </c>
      <c r="I83" s="121" t="str">
        <f t="shared" si="24"/>
        <v>-</v>
      </c>
      <c r="J83" s="787"/>
      <c r="K83" s="92">
        <f t="shared" si="25"/>
        <v>0</v>
      </c>
      <c r="L83" s="121" t="str">
        <f t="shared" si="26"/>
        <v>-</v>
      </c>
      <c r="M83" s="807"/>
    </row>
    <row r="84" spans="1:13" s="66" customFormat="1" x14ac:dyDescent="0.2">
      <c r="A84" s="22"/>
      <c r="B84" s="21"/>
      <c r="C84" s="71"/>
      <c r="D84" s="20"/>
      <c r="E84" s="71"/>
      <c r="F84" s="20"/>
      <c r="G84" s="71"/>
      <c r="H84" s="92">
        <f t="shared" si="23"/>
        <v>0</v>
      </c>
      <c r="I84" s="121" t="str">
        <f t="shared" si="24"/>
        <v>-</v>
      </c>
      <c r="J84" s="787"/>
      <c r="K84" s="92">
        <f t="shared" si="25"/>
        <v>0</v>
      </c>
      <c r="L84" s="121" t="str">
        <f t="shared" si="26"/>
        <v>-</v>
      </c>
      <c r="M84" s="807"/>
    </row>
    <row r="85" spans="1:13" ht="37.5" x14ac:dyDescent="0.2">
      <c r="A85" s="153">
        <v>15225</v>
      </c>
      <c r="B85" s="387" t="s">
        <v>566</v>
      </c>
      <c r="C85" s="301">
        <v>750339</v>
      </c>
      <c r="D85" s="314">
        <f ca="1">SUM(OFFSET(D88,-1,0):OFFSET(D85,1,0))</f>
        <v>898524</v>
      </c>
      <c r="E85" s="301">
        <v>750339</v>
      </c>
      <c r="F85" s="20">
        <v>898524</v>
      </c>
      <c r="G85" s="301">
        <f>776172+73069</f>
        <v>849241</v>
      </c>
      <c r="H85" s="402">
        <f t="shared" si="23"/>
        <v>-49283</v>
      </c>
      <c r="I85" s="403">
        <f t="shared" si="24"/>
        <v>-5.4848840988109389E-2</v>
      </c>
      <c r="J85" s="787"/>
      <c r="K85" s="402">
        <f t="shared" si="25"/>
        <v>98902</v>
      </c>
      <c r="L85" s="403">
        <f t="shared" si="26"/>
        <v>0.13180975532392691</v>
      </c>
      <c r="M85" s="807"/>
    </row>
    <row r="86" spans="1:13" s="66" customFormat="1" x14ac:dyDescent="0.2">
      <c r="A86" s="22"/>
      <c r="B86" s="21"/>
      <c r="C86" s="71"/>
      <c r="D86" s="20"/>
      <c r="E86" s="71"/>
      <c r="F86" s="20"/>
      <c r="G86" s="71"/>
      <c r="H86" s="92">
        <f t="shared" si="23"/>
        <v>0</v>
      </c>
      <c r="I86" s="121" t="str">
        <f t="shared" si="24"/>
        <v>-</v>
      </c>
      <c r="J86" s="787"/>
      <c r="K86" s="92">
        <f t="shared" si="25"/>
        <v>0</v>
      </c>
      <c r="L86" s="121" t="str">
        <f t="shared" si="26"/>
        <v>-</v>
      </c>
      <c r="M86" s="807"/>
    </row>
    <row r="87" spans="1:13" s="66" customFormat="1" x14ac:dyDescent="0.2">
      <c r="A87" s="22"/>
      <c r="B87" s="21"/>
      <c r="C87" s="301">
        <v>750339</v>
      </c>
      <c r="D87" s="20">
        <v>898524</v>
      </c>
      <c r="E87" s="301">
        <v>750339</v>
      </c>
      <c r="F87" s="20">
        <v>898524</v>
      </c>
      <c r="G87" s="71">
        <v>849241</v>
      </c>
      <c r="H87" s="92">
        <f t="shared" si="23"/>
        <v>-49283</v>
      </c>
      <c r="I87" s="121">
        <f t="shared" si="24"/>
        <v>-5.4848840988109389E-2</v>
      </c>
      <c r="J87" s="787"/>
      <c r="K87" s="92">
        <f t="shared" si="25"/>
        <v>98902</v>
      </c>
      <c r="L87" s="121">
        <f t="shared" si="26"/>
        <v>0.13180975532392691</v>
      </c>
      <c r="M87" s="808"/>
    </row>
    <row r="88" spans="1:13" ht="19.5" customHeight="1" x14ac:dyDescent="0.2">
      <c r="A88" s="508">
        <v>15230</v>
      </c>
      <c r="B88" s="106" t="s">
        <v>314</v>
      </c>
      <c r="C88" s="503">
        <f t="shared" ref="C88:E88" ca="1" si="28">C89+C92+C95+C98+C101</f>
        <v>1034402</v>
      </c>
      <c r="D88" s="503">
        <f t="shared" ca="1" si="28"/>
        <v>0</v>
      </c>
      <c r="E88" s="503">
        <f t="shared" si="28"/>
        <v>1034402</v>
      </c>
      <c r="F88" s="503">
        <v>0</v>
      </c>
      <c r="G88" s="503">
        <f ca="1">G89+G92+G95+G98+G101</f>
        <v>514861</v>
      </c>
      <c r="H88" s="504">
        <f t="shared" ca="1" si="23"/>
        <v>514861</v>
      </c>
      <c r="I88" s="369" t="str">
        <f t="shared" ca="1" si="24"/>
        <v>-</v>
      </c>
      <c r="J88" s="809" t="s">
        <v>911</v>
      </c>
      <c r="K88" s="504">
        <f t="shared" ca="1" si="25"/>
        <v>-519541</v>
      </c>
      <c r="L88" s="369">
        <f t="shared" ca="1" si="26"/>
        <v>-0.50226217660058659</v>
      </c>
      <c r="M88" s="806" t="s">
        <v>860</v>
      </c>
    </row>
    <row r="89" spans="1:13" ht="56.25" customHeight="1" x14ac:dyDescent="0.2">
      <c r="A89" s="153">
        <v>15231</v>
      </c>
      <c r="B89" s="387" t="s">
        <v>567</v>
      </c>
      <c r="C89" s="301">
        <f ca="1">SUM(OFFSET(C92,-1,0):OFFSET(C89,1,0))</f>
        <v>0</v>
      </c>
      <c r="D89" s="314">
        <f ca="1">SUM(OFFSET(D92,-1,0):OFFSET(D89,1,0))</f>
        <v>0</v>
      </c>
      <c r="E89" s="301">
        <v>0</v>
      </c>
      <c r="F89" s="314">
        <v>0</v>
      </c>
      <c r="G89" s="301">
        <f ca="1">SUM(OFFSET(G92,-1,0):OFFSET(G89,1,0))</f>
        <v>0</v>
      </c>
      <c r="H89" s="402">
        <f t="shared" ca="1" si="23"/>
        <v>0</v>
      </c>
      <c r="I89" s="403" t="str">
        <f t="shared" ca="1" si="24"/>
        <v>-</v>
      </c>
      <c r="J89" s="810"/>
      <c r="K89" s="402">
        <f t="shared" ca="1" si="25"/>
        <v>0</v>
      </c>
      <c r="L89" s="404" t="str">
        <f t="shared" ca="1" si="26"/>
        <v>-</v>
      </c>
      <c r="M89" s="807"/>
    </row>
    <row r="90" spans="1:13" s="66" customFormat="1" ht="18.75" customHeight="1" x14ac:dyDescent="0.2">
      <c r="A90" s="22"/>
      <c r="B90" s="21"/>
      <c r="C90" s="71"/>
      <c r="D90" s="20"/>
      <c r="E90" s="71"/>
      <c r="F90" s="20"/>
      <c r="G90" s="71"/>
      <c r="H90" s="92">
        <f t="shared" si="23"/>
        <v>0</v>
      </c>
      <c r="I90" s="121" t="str">
        <f t="shared" si="24"/>
        <v>-</v>
      </c>
      <c r="J90" s="810"/>
      <c r="K90" s="92">
        <f t="shared" si="25"/>
        <v>0</v>
      </c>
      <c r="L90" s="121" t="str">
        <f t="shared" si="26"/>
        <v>-</v>
      </c>
      <c r="M90" s="807"/>
    </row>
    <row r="91" spans="1:13" s="66" customFormat="1" ht="18.75" customHeight="1" x14ac:dyDescent="0.2">
      <c r="A91" s="22"/>
      <c r="B91" s="21"/>
      <c r="C91" s="71"/>
      <c r="D91" s="20"/>
      <c r="E91" s="71"/>
      <c r="F91" s="20"/>
      <c r="G91" s="71"/>
      <c r="H91" s="92">
        <f t="shared" si="23"/>
        <v>0</v>
      </c>
      <c r="I91" s="121" t="str">
        <f t="shared" si="24"/>
        <v>-</v>
      </c>
      <c r="J91" s="810"/>
      <c r="K91" s="92">
        <f t="shared" si="25"/>
        <v>0</v>
      </c>
      <c r="L91" s="121" t="str">
        <f t="shared" si="26"/>
        <v>-</v>
      </c>
      <c r="M91" s="807"/>
    </row>
    <row r="92" spans="1:13" ht="56.25" customHeight="1" x14ac:dyDescent="0.2">
      <c r="A92" s="153">
        <v>15232</v>
      </c>
      <c r="B92" s="387" t="s">
        <v>563</v>
      </c>
      <c r="C92" s="301">
        <f ca="1">SUM(OFFSET(C95,-1,0):OFFSET(C92,1,0))</f>
        <v>0</v>
      </c>
      <c r="D92" s="314">
        <f ca="1">SUM(OFFSET(D95,-1,0):OFFSET(D92,1,0))</f>
        <v>0</v>
      </c>
      <c r="E92" s="301">
        <v>0</v>
      </c>
      <c r="F92" s="314">
        <v>0</v>
      </c>
      <c r="G92" s="301">
        <f ca="1">SUM(OFFSET(G95,-1,0):OFFSET(G92,1,0))</f>
        <v>0</v>
      </c>
      <c r="H92" s="402">
        <f t="shared" ca="1" si="23"/>
        <v>0</v>
      </c>
      <c r="I92" s="403" t="str">
        <f t="shared" ca="1" si="24"/>
        <v>-</v>
      </c>
      <c r="J92" s="810"/>
      <c r="K92" s="402">
        <f t="shared" ca="1" si="25"/>
        <v>0</v>
      </c>
      <c r="L92" s="403" t="str">
        <f t="shared" ca="1" si="26"/>
        <v>-</v>
      </c>
      <c r="M92" s="807"/>
    </row>
    <row r="93" spans="1:13" s="66" customFormat="1" ht="18.75" customHeight="1" x14ac:dyDescent="0.2">
      <c r="A93" s="22"/>
      <c r="B93" s="21"/>
      <c r="C93" s="71"/>
      <c r="D93" s="20"/>
      <c r="E93" s="71"/>
      <c r="F93" s="20"/>
      <c r="G93" s="71"/>
      <c r="H93" s="92">
        <f t="shared" si="23"/>
        <v>0</v>
      </c>
      <c r="I93" s="121" t="str">
        <f t="shared" si="24"/>
        <v>-</v>
      </c>
      <c r="J93" s="810"/>
      <c r="K93" s="92">
        <f t="shared" si="25"/>
        <v>0</v>
      </c>
      <c r="L93" s="121" t="str">
        <f t="shared" si="26"/>
        <v>-</v>
      </c>
      <c r="M93" s="807"/>
    </row>
    <row r="94" spans="1:13" s="66" customFormat="1" ht="18.75" customHeight="1" x14ac:dyDescent="0.2">
      <c r="A94" s="22"/>
      <c r="B94" s="21"/>
      <c r="C94" s="71"/>
      <c r="D94" s="20"/>
      <c r="E94" s="71"/>
      <c r="F94" s="20"/>
      <c r="G94" s="71"/>
      <c r="H94" s="92">
        <f t="shared" si="23"/>
        <v>0</v>
      </c>
      <c r="I94" s="121" t="str">
        <f t="shared" si="24"/>
        <v>-</v>
      </c>
      <c r="J94" s="810"/>
      <c r="K94" s="92">
        <f t="shared" si="25"/>
        <v>0</v>
      </c>
      <c r="L94" s="121" t="str">
        <f t="shared" si="26"/>
        <v>-</v>
      </c>
      <c r="M94" s="807"/>
    </row>
    <row r="95" spans="1:13" ht="38.25" customHeight="1" x14ac:dyDescent="0.2">
      <c r="A95" s="153">
        <v>15233</v>
      </c>
      <c r="B95" s="387" t="s">
        <v>564</v>
      </c>
      <c r="C95" s="301">
        <f ca="1">SUM(OFFSET(C98,-1,0):OFFSET(C95,1,0))</f>
        <v>0</v>
      </c>
      <c r="D95" s="314">
        <f ca="1">SUM(OFFSET(D98,-1,0):OFFSET(D95,1,0))</f>
        <v>0</v>
      </c>
      <c r="E95" s="301">
        <v>0</v>
      </c>
      <c r="F95" s="314">
        <v>0</v>
      </c>
      <c r="G95" s="301">
        <f ca="1">SUM(OFFSET(G98,-1,0):OFFSET(G95,1,0))</f>
        <v>0</v>
      </c>
      <c r="H95" s="402">
        <f t="shared" ca="1" si="23"/>
        <v>0</v>
      </c>
      <c r="I95" s="403" t="str">
        <f t="shared" ca="1" si="24"/>
        <v>-</v>
      </c>
      <c r="J95" s="810"/>
      <c r="K95" s="402">
        <f t="shared" ca="1" si="25"/>
        <v>0</v>
      </c>
      <c r="L95" s="403" t="str">
        <f t="shared" ca="1" si="26"/>
        <v>-</v>
      </c>
      <c r="M95" s="807"/>
    </row>
    <row r="96" spans="1:13" s="66" customFormat="1" ht="38.25" customHeight="1" x14ac:dyDescent="0.2">
      <c r="A96" s="22"/>
      <c r="B96" s="21"/>
      <c r="C96" s="71"/>
      <c r="D96" s="20"/>
      <c r="E96" s="71"/>
      <c r="F96" s="20"/>
      <c r="G96" s="71"/>
      <c r="H96" s="92">
        <f t="shared" si="23"/>
        <v>0</v>
      </c>
      <c r="I96" s="121" t="str">
        <f t="shared" si="24"/>
        <v>-</v>
      </c>
      <c r="J96" s="810"/>
      <c r="K96" s="92">
        <f t="shared" si="25"/>
        <v>0</v>
      </c>
      <c r="L96" s="121" t="str">
        <f t="shared" si="26"/>
        <v>-</v>
      </c>
      <c r="M96" s="807"/>
    </row>
    <row r="97" spans="1:13" s="66" customFormat="1" ht="38.25" customHeight="1" x14ac:dyDescent="0.2">
      <c r="A97" s="22"/>
      <c r="B97" s="21"/>
      <c r="C97" s="71"/>
      <c r="D97" s="20"/>
      <c r="E97" s="71"/>
      <c r="F97" s="20"/>
      <c r="G97" s="71"/>
      <c r="H97" s="92">
        <f t="shared" si="23"/>
        <v>0</v>
      </c>
      <c r="I97" s="121" t="str">
        <f t="shared" si="24"/>
        <v>-</v>
      </c>
      <c r="J97" s="810"/>
      <c r="K97" s="92">
        <f t="shared" si="25"/>
        <v>0</v>
      </c>
      <c r="L97" s="121" t="str">
        <f t="shared" si="26"/>
        <v>-</v>
      </c>
      <c r="M97" s="807"/>
    </row>
    <row r="98" spans="1:13" ht="37.5" customHeight="1" x14ac:dyDescent="0.2">
      <c r="A98" s="153">
        <v>15234</v>
      </c>
      <c r="B98" s="387" t="s">
        <v>565</v>
      </c>
      <c r="C98" s="301">
        <f ca="1">SUM(OFFSET(C101,-1,0):OFFSET(C98,1,0))</f>
        <v>0</v>
      </c>
      <c r="D98" s="314">
        <f ca="1">SUM(OFFSET(D101,-1,0):OFFSET(D98,1,0))</f>
        <v>0</v>
      </c>
      <c r="E98" s="301">
        <v>0</v>
      </c>
      <c r="F98" s="314">
        <v>0</v>
      </c>
      <c r="G98" s="301">
        <f ca="1">SUM(OFFSET(G101,-1,0):OFFSET(G98,1,0))</f>
        <v>0</v>
      </c>
      <c r="H98" s="402">
        <f t="shared" ca="1" si="23"/>
        <v>0</v>
      </c>
      <c r="I98" s="403" t="str">
        <f t="shared" ca="1" si="24"/>
        <v>-</v>
      </c>
      <c r="J98" s="810"/>
      <c r="K98" s="402">
        <f t="shared" ca="1" si="25"/>
        <v>0</v>
      </c>
      <c r="L98" s="403" t="str">
        <f t="shared" ca="1" si="26"/>
        <v>-</v>
      </c>
      <c r="M98" s="807"/>
    </row>
    <row r="99" spans="1:13" s="66" customFormat="1" ht="18.75" customHeight="1" x14ac:dyDescent="0.2">
      <c r="A99" s="22"/>
      <c r="B99" s="21"/>
      <c r="C99" s="71"/>
      <c r="D99" s="20"/>
      <c r="E99" s="71"/>
      <c r="F99" s="20"/>
      <c r="G99" s="71"/>
      <c r="H99" s="92">
        <f t="shared" si="23"/>
        <v>0</v>
      </c>
      <c r="I99" s="121" t="str">
        <f t="shared" si="24"/>
        <v>-</v>
      </c>
      <c r="J99" s="810"/>
      <c r="K99" s="92">
        <f t="shared" si="25"/>
        <v>0</v>
      </c>
      <c r="L99" s="121" t="str">
        <f t="shared" si="26"/>
        <v>-</v>
      </c>
      <c r="M99" s="807"/>
    </row>
    <row r="100" spans="1:13" s="66" customFormat="1" ht="18.75" customHeight="1" x14ac:dyDescent="0.2">
      <c r="A100" s="22"/>
      <c r="B100" s="21"/>
      <c r="C100" s="71"/>
      <c r="D100" s="20"/>
      <c r="E100" s="71"/>
      <c r="F100" s="20"/>
      <c r="G100" s="71"/>
      <c r="H100" s="92">
        <f t="shared" si="23"/>
        <v>0</v>
      </c>
      <c r="I100" s="121" t="str">
        <f t="shared" si="24"/>
        <v>-</v>
      </c>
      <c r="J100" s="810"/>
      <c r="K100" s="92">
        <f t="shared" si="25"/>
        <v>0</v>
      </c>
      <c r="L100" s="121" t="str">
        <f t="shared" si="26"/>
        <v>-</v>
      </c>
      <c r="M100" s="807"/>
    </row>
    <row r="101" spans="1:13" ht="93.75" customHeight="1" x14ac:dyDescent="0.2">
      <c r="A101" s="153">
        <v>15234</v>
      </c>
      <c r="B101" s="387" t="s">
        <v>566</v>
      </c>
      <c r="C101" s="301">
        <f ca="1">SUM(OFFSET(C104,-1,0):OFFSET(C101,1,0))</f>
        <v>1034402</v>
      </c>
      <c r="D101" s="314">
        <f ca="1">SUM(OFFSET(D104,-1,0):OFFSET(D101,1,0))</f>
        <v>0</v>
      </c>
      <c r="E101" s="71">
        <v>1034402</v>
      </c>
      <c r="F101" s="314">
        <v>0</v>
      </c>
      <c r="G101" s="301">
        <v>514861</v>
      </c>
      <c r="H101" s="402">
        <f t="shared" si="23"/>
        <v>514861</v>
      </c>
      <c r="I101" s="403" t="str">
        <f t="shared" si="24"/>
        <v>-</v>
      </c>
      <c r="J101" s="810"/>
      <c r="K101" s="402">
        <f t="shared" si="25"/>
        <v>-519541</v>
      </c>
      <c r="L101" s="403">
        <f t="shared" si="26"/>
        <v>-0.50226217660058659</v>
      </c>
      <c r="M101" s="807"/>
    </row>
    <row r="102" spans="1:13" s="66" customFormat="1" ht="18.75" customHeight="1" x14ac:dyDescent="0.2">
      <c r="A102" s="22"/>
      <c r="B102" s="21"/>
      <c r="C102" s="71">
        <v>1034402</v>
      </c>
      <c r="D102" s="20"/>
      <c r="E102" s="71">
        <v>1034402</v>
      </c>
      <c r="F102" s="20"/>
      <c r="G102" s="71"/>
      <c r="H102" s="92">
        <f t="shared" si="23"/>
        <v>0</v>
      </c>
      <c r="I102" s="121" t="str">
        <f t="shared" si="24"/>
        <v>-</v>
      </c>
      <c r="J102" s="810"/>
      <c r="K102" s="92">
        <f t="shared" si="25"/>
        <v>-1034402</v>
      </c>
      <c r="L102" s="121">
        <f t="shared" si="26"/>
        <v>-1</v>
      </c>
      <c r="M102" s="807"/>
    </row>
    <row r="103" spans="1:13" s="66" customFormat="1" ht="18.75" customHeight="1" x14ac:dyDescent="0.2">
      <c r="A103" s="22"/>
      <c r="B103" s="21"/>
      <c r="C103" s="71"/>
      <c r="D103" s="20"/>
      <c r="E103" s="71"/>
      <c r="F103" s="20"/>
      <c r="G103" s="71"/>
      <c r="H103" s="92">
        <f t="shared" si="23"/>
        <v>0</v>
      </c>
      <c r="I103" s="230" t="str">
        <f t="shared" si="24"/>
        <v>-</v>
      </c>
      <c r="J103" s="810"/>
      <c r="K103" s="92">
        <f t="shared" si="25"/>
        <v>0</v>
      </c>
      <c r="L103" s="121" t="str">
        <f t="shared" si="26"/>
        <v>-</v>
      </c>
      <c r="M103" s="808"/>
    </row>
    <row r="104" spans="1:13" ht="19.5" customHeight="1" x14ac:dyDescent="0.2">
      <c r="A104" s="398">
        <v>15300</v>
      </c>
      <c r="B104" s="399" t="s">
        <v>194</v>
      </c>
      <c r="C104" s="300">
        <v>0</v>
      </c>
      <c r="D104" s="313">
        <v>0</v>
      </c>
      <c r="E104" s="300">
        <v>0</v>
      </c>
      <c r="F104" s="313">
        <v>0</v>
      </c>
      <c r="G104" s="300">
        <v>0</v>
      </c>
      <c r="H104" s="400">
        <f t="shared" si="23"/>
        <v>0</v>
      </c>
      <c r="I104" s="385" t="str">
        <f t="shared" si="24"/>
        <v>-</v>
      </c>
      <c r="J104" s="716"/>
      <c r="K104" s="400">
        <f t="shared" si="25"/>
        <v>0</v>
      </c>
      <c r="L104" s="385" t="str">
        <f t="shared" si="26"/>
        <v>-</v>
      </c>
      <c r="M104" s="717"/>
    </row>
    <row r="105" spans="1:13" ht="37.5" customHeight="1" x14ac:dyDescent="0.2">
      <c r="A105" s="477">
        <v>16000</v>
      </c>
      <c r="B105" s="405" t="s">
        <v>325</v>
      </c>
      <c r="C105" s="406">
        <f t="shared" ref="C105:F105" ca="1" si="29">C47-C53</f>
        <v>-1784741</v>
      </c>
      <c r="D105" s="406">
        <f t="shared" ca="1" si="29"/>
        <v>-898524</v>
      </c>
      <c r="E105" s="406">
        <f t="shared" si="29"/>
        <v>-1784741</v>
      </c>
      <c r="F105" s="406">
        <f t="shared" si="29"/>
        <v>-898524</v>
      </c>
      <c r="G105" s="406">
        <f ca="1">G47-G53</f>
        <v>-1411171</v>
      </c>
      <c r="H105" s="407">
        <f t="shared" ca="1" si="23"/>
        <v>-512647</v>
      </c>
      <c r="I105" s="254">
        <f t="shared" ca="1" si="24"/>
        <v>-0.57054346906704778</v>
      </c>
      <c r="J105" s="413"/>
      <c r="K105" s="108">
        <f t="shared" ca="1" si="25"/>
        <v>373570</v>
      </c>
      <c r="L105" s="254">
        <f t="shared" ca="1" si="26"/>
        <v>0.2093132841123726</v>
      </c>
      <c r="M105" s="263"/>
    </row>
    <row r="106" spans="1:13" ht="18.75" customHeight="1" x14ac:dyDescent="0.2">
      <c r="A106" s="370" t="s">
        <v>310</v>
      </c>
      <c r="B106" s="782" t="s">
        <v>197</v>
      </c>
      <c r="C106" s="782"/>
      <c r="D106" s="782"/>
      <c r="E106" s="782"/>
      <c r="F106" s="782"/>
      <c r="G106" s="782"/>
      <c r="H106" s="782"/>
      <c r="I106" s="372" t="str">
        <f t="shared" si="24"/>
        <v>-</v>
      </c>
      <c r="J106" s="415"/>
      <c r="L106" s="372" t="str">
        <f t="shared" si="26"/>
        <v>-</v>
      </c>
      <c r="M106" s="717"/>
    </row>
    <row r="107" spans="1:13" ht="19.5" customHeight="1" x14ac:dyDescent="0.2">
      <c r="A107" s="408">
        <v>17000</v>
      </c>
      <c r="B107" s="409" t="s">
        <v>321</v>
      </c>
      <c r="C107" s="302">
        <f ca="1">C108+C109+C110</f>
        <v>432103.82</v>
      </c>
      <c r="D107" s="302">
        <f t="shared" ref="D107:E107" ca="1" si="30">D108+D109+D110</f>
        <v>221891</v>
      </c>
      <c r="E107" s="302">
        <f t="shared" ca="1" si="30"/>
        <v>432103.82</v>
      </c>
      <c r="F107" s="302">
        <v>221891</v>
      </c>
      <c r="G107" s="726">
        <f ca="1">G108+G109+G110</f>
        <v>170548.27000000002</v>
      </c>
      <c r="H107" s="410">
        <f t="shared" ref="H107:H111" ca="1" si="31">G107-F107</f>
        <v>-51342.729999999981</v>
      </c>
      <c r="I107" s="254">
        <f t="shared" ca="1" si="24"/>
        <v>-0.23138716757326788</v>
      </c>
      <c r="J107" s="718"/>
      <c r="K107" s="108">
        <f t="shared" ref="K107:K120" ca="1" si="32">G107-E107</f>
        <v>-261555.55</v>
      </c>
      <c r="L107" s="254">
        <f t="shared" ca="1" si="26"/>
        <v>-0.60530719214655404</v>
      </c>
      <c r="M107" s="263"/>
    </row>
    <row r="108" spans="1:13" ht="56.25" customHeight="1" x14ac:dyDescent="0.2">
      <c r="A108" s="381">
        <v>17100</v>
      </c>
      <c r="B108" s="411" t="s">
        <v>199</v>
      </c>
      <c r="C108" s="297"/>
      <c r="D108" s="311"/>
      <c r="E108" s="297"/>
      <c r="F108" s="311"/>
      <c r="G108" s="297">
        <v>97479</v>
      </c>
      <c r="H108" s="384">
        <f t="shared" si="31"/>
        <v>97479</v>
      </c>
      <c r="I108" s="385" t="str">
        <f t="shared" si="24"/>
        <v>-</v>
      </c>
      <c r="J108" s="723" t="s">
        <v>914</v>
      </c>
      <c r="K108" s="384">
        <f t="shared" si="32"/>
        <v>97479</v>
      </c>
      <c r="L108" s="385" t="str">
        <f t="shared" si="26"/>
        <v>-</v>
      </c>
      <c r="M108" s="724" t="s">
        <v>915</v>
      </c>
    </row>
    <row r="109" spans="1:13" ht="19.5" customHeight="1" x14ac:dyDescent="0.2">
      <c r="A109" s="381">
        <v>17200</v>
      </c>
      <c r="B109" s="411" t="s">
        <v>320</v>
      </c>
      <c r="C109" s="297"/>
      <c r="D109" s="311"/>
      <c r="E109" s="297"/>
      <c r="F109" s="311"/>
      <c r="G109" s="297"/>
      <c r="H109" s="384">
        <f t="shared" si="31"/>
        <v>0</v>
      </c>
      <c r="I109" s="385" t="str">
        <f t="shared" si="24"/>
        <v>-</v>
      </c>
      <c r="J109" s="415"/>
      <c r="K109" s="412">
        <f t="shared" si="32"/>
        <v>0</v>
      </c>
      <c r="L109" s="385" t="str">
        <f t="shared" si="26"/>
        <v>-</v>
      </c>
      <c r="M109" s="717"/>
    </row>
    <row r="110" spans="1:13" ht="37.5" x14ac:dyDescent="0.2">
      <c r="A110" s="374">
        <v>17300</v>
      </c>
      <c r="B110" s="375" t="s">
        <v>198</v>
      </c>
      <c r="C110" s="107">
        <f t="shared" ref="C110:G110" ca="1" si="33">C111+C114+C117+C120+C123</f>
        <v>432103.82</v>
      </c>
      <c r="D110" s="107">
        <f t="shared" ca="1" si="33"/>
        <v>221891</v>
      </c>
      <c r="E110" s="107">
        <f t="shared" ca="1" si="33"/>
        <v>432103.82</v>
      </c>
      <c r="F110" s="107">
        <v>221891</v>
      </c>
      <c r="G110" s="107">
        <f t="shared" ca="1" si="33"/>
        <v>73069.27</v>
      </c>
      <c r="H110" s="108">
        <f ca="1">G110-F110</f>
        <v>-148821.72999999998</v>
      </c>
      <c r="I110" s="254">
        <f t="shared" ca="1" si="24"/>
        <v>-0.67069745956347926</v>
      </c>
      <c r="J110" s="719"/>
      <c r="K110" s="108">
        <f t="shared" ca="1" si="32"/>
        <v>-359034.55</v>
      </c>
      <c r="L110" s="254">
        <f t="shared" ca="1" si="26"/>
        <v>-0.83089881038311575</v>
      </c>
      <c r="M110" s="263"/>
    </row>
    <row r="111" spans="1:13" ht="56.25" customHeight="1" x14ac:dyDescent="0.2">
      <c r="A111" s="414">
        <v>17310</v>
      </c>
      <c r="B111" s="415" t="s">
        <v>568</v>
      </c>
      <c r="C111" s="303">
        <f ca="1">SUM(OFFSET(C114,-1,0):OFFSET(C111,1,0))</f>
        <v>0</v>
      </c>
      <c r="D111" s="315">
        <f ca="1">SUM(OFFSET(D114,-1,0):OFFSET(D111,1,0))</f>
        <v>0</v>
      </c>
      <c r="E111" s="303">
        <v>0</v>
      </c>
      <c r="F111" s="315">
        <v>0</v>
      </c>
      <c r="G111" s="303">
        <f ca="1">SUM(OFFSET(G114,-1,0):OFFSET(G111,1,0))</f>
        <v>0</v>
      </c>
      <c r="H111" s="416">
        <f t="shared" ca="1" si="31"/>
        <v>0</v>
      </c>
      <c r="I111" s="229" t="str">
        <f t="shared" ca="1" si="24"/>
        <v>-</v>
      </c>
      <c r="J111" s="809" t="s">
        <v>912</v>
      </c>
      <c r="K111" s="417">
        <f t="shared" ca="1" si="32"/>
        <v>0</v>
      </c>
      <c r="L111" s="229" t="str">
        <f t="shared" ca="1" si="26"/>
        <v>-</v>
      </c>
      <c r="M111" s="800" t="s">
        <v>913</v>
      </c>
    </row>
    <row r="112" spans="1:13" s="66" customFormat="1" x14ac:dyDescent="0.2">
      <c r="A112" s="418"/>
      <c r="B112" s="419"/>
      <c r="C112" s="304"/>
      <c r="D112" s="304"/>
      <c r="E112" s="304"/>
      <c r="F112" s="304"/>
      <c r="G112" s="304"/>
      <c r="H112" s="120"/>
      <c r="I112" s="230" t="str">
        <f t="shared" si="24"/>
        <v>-</v>
      </c>
      <c r="J112" s="810"/>
      <c r="K112" s="120">
        <f t="shared" si="32"/>
        <v>0</v>
      </c>
      <c r="L112" s="230" t="str">
        <f t="shared" si="26"/>
        <v>-</v>
      </c>
      <c r="M112" s="751"/>
    </row>
    <row r="113" spans="1:13" s="66" customFormat="1" x14ac:dyDescent="0.2">
      <c r="A113" s="418"/>
      <c r="B113" s="419"/>
      <c r="C113" s="119"/>
      <c r="D113" s="304"/>
      <c r="E113" s="119"/>
      <c r="F113" s="304"/>
      <c r="G113" s="119"/>
      <c r="H113" s="120">
        <f t="shared" ref="H113:H140" si="34">G113-F113</f>
        <v>0</v>
      </c>
      <c r="I113" s="230" t="str">
        <f t="shared" si="24"/>
        <v>-</v>
      </c>
      <c r="J113" s="810"/>
      <c r="K113" s="120">
        <f t="shared" si="32"/>
        <v>0</v>
      </c>
      <c r="L113" s="230" t="str">
        <f t="shared" si="26"/>
        <v>-</v>
      </c>
      <c r="M113" s="751"/>
    </row>
    <row r="114" spans="1:13" ht="56.25" x14ac:dyDescent="0.2">
      <c r="A114" s="414">
        <v>17320</v>
      </c>
      <c r="B114" s="109" t="s">
        <v>468</v>
      </c>
      <c r="C114" s="303">
        <f ca="1">SUM(OFFSET(C117,-1,0):OFFSET(C114,1,0))</f>
        <v>432103.82</v>
      </c>
      <c r="D114" s="303">
        <f ca="1">SUM(OFFSET(D117,-1,0):OFFSET(D114,1,0))</f>
        <v>221891</v>
      </c>
      <c r="E114" s="303">
        <f ca="1">SUM(OFFSET(E117,-1,0):OFFSET(E114,1,0))</f>
        <v>432103.82</v>
      </c>
      <c r="F114" s="315">
        <v>221891</v>
      </c>
      <c r="G114" s="303">
        <v>73069.27</v>
      </c>
      <c r="H114" s="416">
        <f t="shared" si="34"/>
        <v>-148821.72999999998</v>
      </c>
      <c r="I114" s="229">
        <f t="shared" si="24"/>
        <v>-0.67069745956347926</v>
      </c>
      <c r="J114" s="810"/>
      <c r="K114" s="416">
        <f t="shared" ca="1" si="32"/>
        <v>-359034.55</v>
      </c>
      <c r="L114" s="229">
        <f t="shared" ca="1" si="26"/>
        <v>-0.83089881038311575</v>
      </c>
      <c r="M114" s="751"/>
    </row>
    <row r="115" spans="1:13" s="66" customFormat="1" x14ac:dyDescent="0.2">
      <c r="A115" s="418"/>
      <c r="B115" s="112"/>
      <c r="C115" s="119"/>
      <c r="D115" s="304"/>
      <c r="E115" s="119"/>
      <c r="F115" s="304"/>
      <c r="G115" s="119"/>
      <c r="H115" s="120">
        <f t="shared" si="34"/>
        <v>0</v>
      </c>
      <c r="I115" s="230" t="str">
        <f t="shared" si="24"/>
        <v>-</v>
      </c>
      <c r="J115" s="810"/>
      <c r="K115" s="120">
        <f t="shared" si="32"/>
        <v>0</v>
      </c>
      <c r="L115" s="230" t="str">
        <f t="shared" si="26"/>
        <v>-</v>
      </c>
      <c r="M115" s="751"/>
    </row>
    <row r="116" spans="1:13" s="66" customFormat="1" x14ac:dyDescent="0.2">
      <c r="A116" s="418"/>
      <c r="B116" s="112"/>
      <c r="C116" s="119">
        <v>432103.82</v>
      </c>
      <c r="D116" s="304">
        <v>221891</v>
      </c>
      <c r="E116" s="119">
        <v>432103.82</v>
      </c>
      <c r="F116" s="304">
        <v>221891</v>
      </c>
      <c r="G116" s="119">
        <v>73069.31</v>
      </c>
      <c r="H116" s="120">
        <f t="shared" si="34"/>
        <v>-148821.69</v>
      </c>
      <c r="I116" s="230">
        <f t="shared" si="24"/>
        <v>-0.67069727929478884</v>
      </c>
      <c r="J116" s="810"/>
      <c r="K116" s="120">
        <f t="shared" si="32"/>
        <v>-359034.51</v>
      </c>
      <c r="L116" s="230">
        <f t="shared" si="26"/>
        <v>-0.83089871781277014</v>
      </c>
      <c r="M116" s="751"/>
    </row>
    <row r="117" spans="1:13" ht="56.25" x14ac:dyDescent="0.2">
      <c r="A117" s="98">
        <v>17330</v>
      </c>
      <c r="B117" s="420" t="s">
        <v>569</v>
      </c>
      <c r="C117" s="303">
        <f ca="1">SUM(OFFSET(C120,-1,0):OFFSET(C117,1,0))</f>
        <v>0</v>
      </c>
      <c r="D117" s="315">
        <f ca="1">SUM(OFFSET(D120,-1,0):OFFSET(D117,1,0))</f>
        <v>0</v>
      </c>
      <c r="E117" s="303">
        <v>0</v>
      </c>
      <c r="F117" s="315">
        <v>0</v>
      </c>
      <c r="G117" s="303">
        <f ca="1">SUM(OFFSET(G120,-1,0):OFFSET(G117,1,0))</f>
        <v>0</v>
      </c>
      <c r="H117" s="416">
        <f t="shared" ca="1" si="34"/>
        <v>0</v>
      </c>
      <c r="I117" s="229" t="str">
        <f t="shared" ca="1" si="24"/>
        <v>-</v>
      </c>
      <c r="J117" s="810"/>
      <c r="K117" s="416">
        <f t="shared" ca="1" si="32"/>
        <v>0</v>
      </c>
      <c r="L117" s="229" t="str">
        <f t="shared" ca="1" si="26"/>
        <v>-</v>
      </c>
      <c r="M117" s="751"/>
    </row>
    <row r="118" spans="1:13" s="66" customFormat="1" x14ac:dyDescent="0.2">
      <c r="A118" s="111"/>
      <c r="B118" s="421"/>
      <c r="C118" s="119"/>
      <c r="D118" s="304"/>
      <c r="E118" s="119"/>
      <c r="F118" s="304"/>
      <c r="G118" s="119"/>
      <c r="H118" s="120">
        <f t="shared" si="34"/>
        <v>0</v>
      </c>
      <c r="I118" s="230" t="str">
        <f t="shared" si="24"/>
        <v>-</v>
      </c>
      <c r="J118" s="810"/>
      <c r="K118" s="120">
        <f t="shared" si="32"/>
        <v>0</v>
      </c>
      <c r="L118" s="230" t="str">
        <f t="shared" si="26"/>
        <v>-</v>
      </c>
      <c r="M118" s="751"/>
    </row>
    <row r="119" spans="1:13" s="66" customFormat="1" x14ac:dyDescent="0.2">
      <c r="A119" s="111"/>
      <c r="B119" s="421"/>
      <c r="C119" s="119"/>
      <c r="D119" s="304"/>
      <c r="E119" s="119"/>
      <c r="F119" s="304"/>
      <c r="G119" s="119"/>
      <c r="H119" s="120">
        <f t="shared" si="34"/>
        <v>0</v>
      </c>
      <c r="I119" s="230" t="str">
        <f t="shared" si="24"/>
        <v>-</v>
      </c>
      <c r="J119" s="810"/>
      <c r="K119" s="120">
        <f t="shared" si="32"/>
        <v>0</v>
      </c>
      <c r="L119" s="230" t="str">
        <f t="shared" si="26"/>
        <v>-</v>
      </c>
      <c r="M119" s="751"/>
    </row>
    <row r="120" spans="1:13" ht="56.25" x14ac:dyDescent="0.2">
      <c r="A120" s="98">
        <v>17340</v>
      </c>
      <c r="B120" s="420" t="s">
        <v>570</v>
      </c>
      <c r="C120" s="303">
        <f ca="1">SUM(OFFSET(C123,-1,0):OFFSET(C120,1,0))</f>
        <v>0</v>
      </c>
      <c r="D120" s="315">
        <f ca="1">SUM(OFFSET(D123,-1,0):OFFSET(D120,1,0))</f>
        <v>0</v>
      </c>
      <c r="E120" s="303">
        <v>0</v>
      </c>
      <c r="F120" s="315">
        <v>0</v>
      </c>
      <c r="G120" s="303">
        <f ca="1">SUM(OFFSET(G123,-1,0):OFFSET(G120,1,0))</f>
        <v>0</v>
      </c>
      <c r="H120" s="416">
        <f t="shared" ca="1" si="34"/>
        <v>0</v>
      </c>
      <c r="I120" s="229" t="str">
        <f t="shared" ca="1" si="24"/>
        <v>-</v>
      </c>
      <c r="J120" s="810"/>
      <c r="K120" s="416">
        <f t="shared" ca="1" si="32"/>
        <v>0</v>
      </c>
      <c r="L120" s="229" t="str">
        <f t="shared" ca="1" si="26"/>
        <v>-</v>
      </c>
      <c r="M120" s="751"/>
    </row>
    <row r="121" spans="1:13" s="66" customFormat="1" x14ac:dyDescent="0.2">
      <c r="A121" s="111"/>
      <c r="B121" s="421"/>
      <c r="C121" s="304"/>
      <c r="D121" s="304"/>
      <c r="E121" s="304"/>
      <c r="F121" s="304"/>
      <c r="G121" s="304"/>
      <c r="H121" s="120">
        <f t="shared" si="34"/>
        <v>0</v>
      </c>
      <c r="I121" s="230" t="str">
        <f t="shared" si="24"/>
        <v>-</v>
      </c>
      <c r="J121" s="810"/>
      <c r="K121" s="120"/>
      <c r="L121" s="230" t="str">
        <f t="shared" si="26"/>
        <v>-</v>
      </c>
      <c r="M121" s="751"/>
    </row>
    <row r="122" spans="1:13" s="66" customFormat="1" x14ac:dyDescent="0.2">
      <c r="A122" s="111"/>
      <c r="B122" s="421"/>
      <c r="C122" s="119"/>
      <c r="D122" s="304"/>
      <c r="E122" s="119"/>
      <c r="F122" s="304"/>
      <c r="G122" s="119"/>
      <c r="H122" s="120">
        <f t="shared" si="34"/>
        <v>0</v>
      </c>
      <c r="I122" s="230" t="str">
        <f t="shared" si="24"/>
        <v>-</v>
      </c>
      <c r="J122" s="810"/>
      <c r="K122" s="120">
        <f t="shared" ref="K122:K139" si="35">G122-E122</f>
        <v>0</v>
      </c>
      <c r="L122" s="230" t="str">
        <f t="shared" si="26"/>
        <v>-</v>
      </c>
      <c r="M122" s="751"/>
    </row>
    <row r="123" spans="1:13" ht="56.25" x14ac:dyDescent="0.2">
      <c r="A123" s="414">
        <v>17350</v>
      </c>
      <c r="B123" s="228" t="s">
        <v>571</v>
      </c>
      <c r="C123" s="303">
        <f ca="1">SUM(OFFSET(C126,-1,0):OFFSET(C123,1,0))</f>
        <v>0</v>
      </c>
      <c r="D123" s="315">
        <f ca="1">SUM(OFFSET(D126,-1,0):OFFSET(D123,1,0))</f>
        <v>0</v>
      </c>
      <c r="E123" s="303">
        <v>0</v>
      </c>
      <c r="F123" s="315">
        <v>0</v>
      </c>
      <c r="G123" s="303">
        <f ca="1">SUM(OFFSET(G126,-1,0):OFFSET(G123,1,0))</f>
        <v>0</v>
      </c>
      <c r="H123" s="416">
        <f t="shared" ca="1" si="34"/>
        <v>0</v>
      </c>
      <c r="I123" s="229" t="str">
        <f t="shared" ca="1" si="24"/>
        <v>-</v>
      </c>
      <c r="J123" s="810"/>
      <c r="K123" s="416">
        <f t="shared" ca="1" si="35"/>
        <v>0</v>
      </c>
      <c r="L123" s="229" t="str">
        <f t="shared" ca="1" si="26"/>
        <v>-</v>
      </c>
      <c r="M123" s="751"/>
    </row>
    <row r="124" spans="1:13" s="66" customFormat="1" x14ac:dyDescent="0.2">
      <c r="A124" s="418"/>
      <c r="B124" s="422"/>
      <c r="C124" s="119"/>
      <c r="D124" s="304"/>
      <c r="E124" s="119"/>
      <c r="F124" s="304"/>
      <c r="G124" s="119"/>
      <c r="H124" s="120">
        <f t="shared" si="34"/>
        <v>0</v>
      </c>
      <c r="I124" s="230" t="str">
        <f t="shared" si="24"/>
        <v>-</v>
      </c>
      <c r="J124" s="810"/>
      <c r="K124" s="120">
        <f t="shared" si="35"/>
        <v>0</v>
      </c>
      <c r="L124" s="230" t="str">
        <f t="shared" si="26"/>
        <v>-</v>
      </c>
      <c r="M124" s="751"/>
    </row>
    <row r="125" spans="1:13" s="66" customFormat="1" x14ac:dyDescent="0.2">
      <c r="A125" s="418"/>
      <c r="B125" s="422"/>
      <c r="C125" s="119"/>
      <c r="D125" s="304"/>
      <c r="E125" s="119"/>
      <c r="F125" s="304"/>
      <c r="G125" s="119"/>
      <c r="H125" s="120">
        <f t="shared" si="34"/>
        <v>0</v>
      </c>
      <c r="I125" s="230" t="str">
        <f t="shared" si="24"/>
        <v>-</v>
      </c>
      <c r="J125" s="811"/>
      <c r="K125" s="120">
        <f t="shared" si="35"/>
        <v>0</v>
      </c>
      <c r="L125" s="230" t="str">
        <f t="shared" si="26"/>
        <v>-</v>
      </c>
      <c r="M125" s="752"/>
    </row>
    <row r="126" spans="1:13" ht="19.5" customHeight="1" x14ac:dyDescent="0.2">
      <c r="A126" s="423">
        <v>18000</v>
      </c>
      <c r="B126" s="253" t="s">
        <v>322</v>
      </c>
      <c r="C126" s="107">
        <f t="shared" ref="C126:G126" si="36">C127+C128+C129</f>
        <v>0</v>
      </c>
      <c r="D126" s="307">
        <f t="shared" si="36"/>
        <v>0</v>
      </c>
      <c r="E126" s="307">
        <v>0</v>
      </c>
      <c r="F126" s="307">
        <v>0</v>
      </c>
      <c r="G126" s="107">
        <f t="shared" si="36"/>
        <v>0</v>
      </c>
      <c r="H126" s="108">
        <f t="shared" si="34"/>
        <v>0</v>
      </c>
      <c r="I126" s="254" t="str">
        <f t="shared" si="24"/>
        <v>-</v>
      </c>
      <c r="J126" s="413"/>
      <c r="K126" s="108">
        <f t="shared" si="35"/>
        <v>0</v>
      </c>
      <c r="L126" s="254" t="str">
        <f t="shared" si="26"/>
        <v>-</v>
      </c>
      <c r="M126" s="263"/>
    </row>
    <row r="127" spans="1:13" ht="19.5" customHeight="1" x14ac:dyDescent="0.2">
      <c r="A127" s="424">
        <v>18100</v>
      </c>
      <c r="B127" s="383" t="s">
        <v>323</v>
      </c>
      <c r="C127" s="297"/>
      <c r="D127" s="311"/>
      <c r="E127" s="297"/>
      <c r="F127" s="311"/>
      <c r="G127" s="297"/>
      <c r="H127" s="384">
        <f t="shared" si="34"/>
        <v>0</v>
      </c>
      <c r="I127" s="385" t="str">
        <f t="shared" si="24"/>
        <v>-</v>
      </c>
      <c r="J127" s="415"/>
      <c r="K127" s="384">
        <f t="shared" si="35"/>
        <v>0</v>
      </c>
      <c r="L127" s="385" t="str">
        <f t="shared" si="26"/>
        <v>-</v>
      </c>
      <c r="M127" s="717"/>
    </row>
    <row r="128" spans="1:13" ht="37.5" customHeight="1" x14ac:dyDescent="0.2">
      <c r="A128" s="424">
        <v>18200</v>
      </c>
      <c r="B128" s="383" t="s">
        <v>200</v>
      </c>
      <c r="C128" s="297"/>
      <c r="D128" s="311"/>
      <c r="E128" s="297"/>
      <c r="F128" s="311"/>
      <c r="G128" s="297"/>
      <c r="H128" s="384">
        <f t="shared" si="34"/>
        <v>0</v>
      </c>
      <c r="I128" s="385" t="str">
        <f t="shared" si="24"/>
        <v>-</v>
      </c>
      <c r="J128" s="415"/>
      <c r="K128" s="384">
        <f t="shared" si="35"/>
        <v>0</v>
      </c>
      <c r="L128" s="385" t="str">
        <f t="shared" si="26"/>
        <v>-</v>
      </c>
      <c r="M128" s="717"/>
    </row>
    <row r="129" spans="1:13" ht="19.5" customHeight="1" x14ac:dyDescent="0.2">
      <c r="A129" s="424">
        <v>18300</v>
      </c>
      <c r="B129" s="383" t="s">
        <v>201</v>
      </c>
      <c r="C129" s="297"/>
      <c r="D129" s="311"/>
      <c r="E129" s="297"/>
      <c r="F129" s="311"/>
      <c r="G129" s="297"/>
      <c r="H129" s="384">
        <f t="shared" si="34"/>
        <v>0</v>
      </c>
      <c r="I129" s="385" t="str">
        <f t="shared" si="24"/>
        <v>-</v>
      </c>
      <c r="J129" s="415"/>
      <c r="K129" s="384">
        <f t="shared" si="35"/>
        <v>0</v>
      </c>
      <c r="L129" s="385" t="str">
        <f t="shared" si="26"/>
        <v>-</v>
      </c>
      <c r="M129" s="717"/>
    </row>
    <row r="130" spans="1:13" ht="37.5" customHeight="1" x14ac:dyDescent="0.2">
      <c r="A130" s="373">
        <v>19000</v>
      </c>
      <c r="B130" s="425" t="s">
        <v>324</v>
      </c>
      <c r="C130" s="107">
        <f t="shared" ref="C130" ca="1" si="37">C107-C126</f>
        <v>432103.82</v>
      </c>
      <c r="D130" s="107">
        <f ca="1">D107-D126</f>
        <v>221891</v>
      </c>
      <c r="E130" s="107">
        <f t="shared" ref="E130:F130" ca="1" si="38">E107-E126</f>
        <v>432103.82</v>
      </c>
      <c r="F130" s="107">
        <f t="shared" si="38"/>
        <v>221891</v>
      </c>
      <c r="G130" s="107">
        <f ca="1">G107-G126</f>
        <v>170548.27000000002</v>
      </c>
      <c r="H130" s="108">
        <f t="shared" ca="1" si="34"/>
        <v>-51342.729999999981</v>
      </c>
      <c r="I130" s="254">
        <f t="shared" ca="1" si="24"/>
        <v>-0.23138716757326788</v>
      </c>
      <c r="J130" s="413"/>
      <c r="K130" s="108">
        <f t="shared" ca="1" si="35"/>
        <v>-261555.55</v>
      </c>
      <c r="L130" s="254">
        <f t="shared" ca="1" si="26"/>
        <v>-0.60530719214655404</v>
      </c>
      <c r="M130" s="263"/>
    </row>
    <row r="131" spans="1:13" ht="37.5" customHeight="1" x14ac:dyDescent="0.2">
      <c r="A131" s="381">
        <v>20100</v>
      </c>
      <c r="B131" s="426" t="s">
        <v>202</v>
      </c>
      <c r="C131" s="297"/>
      <c r="D131" s="311"/>
      <c r="E131" s="297"/>
      <c r="F131" s="311"/>
      <c r="G131" s="297"/>
      <c r="H131" s="384">
        <f t="shared" si="34"/>
        <v>0</v>
      </c>
      <c r="I131" s="385" t="str">
        <f t="shared" si="24"/>
        <v>-</v>
      </c>
      <c r="J131" s="415"/>
      <c r="K131" s="384">
        <f t="shared" si="35"/>
        <v>0</v>
      </c>
      <c r="L131" s="385" t="str">
        <f t="shared" si="26"/>
        <v>-</v>
      </c>
      <c r="M131" s="717"/>
    </row>
    <row r="132" spans="1:13" ht="37.5" customHeight="1" x14ac:dyDescent="0.2">
      <c r="A132" s="381">
        <v>20200</v>
      </c>
      <c r="B132" s="426" t="s">
        <v>203</v>
      </c>
      <c r="C132" s="297"/>
      <c r="D132" s="311"/>
      <c r="E132" s="297"/>
      <c r="F132" s="311"/>
      <c r="G132" s="297"/>
      <c r="H132" s="384">
        <f t="shared" si="34"/>
        <v>0</v>
      </c>
      <c r="I132" s="385" t="str">
        <f t="shared" si="24"/>
        <v>-</v>
      </c>
      <c r="J132" s="415"/>
      <c r="K132" s="384">
        <f t="shared" si="35"/>
        <v>0</v>
      </c>
      <c r="L132" s="385" t="str">
        <f t="shared" si="26"/>
        <v>-</v>
      </c>
      <c r="M132" s="717"/>
    </row>
    <row r="133" spans="1:13" ht="37.5" customHeight="1" x14ac:dyDescent="0.2">
      <c r="A133" s="367">
        <v>21000</v>
      </c>
      <c r="B133" s="375" t="s">
        <v>204</v>
      </c>
      <c r="C133" s="296">
        <f ca="1">C3+C45+C105+C130+C131+C132</f>
        <v>1845934.2799999935</v>
      </c>
      <c r="D133" s="296">
        <f t="shared" ref="D133" ca="1" si="39">D3+D45+D105+D130+D131+D132</f>
        <v>2212856</v>
      </c>
      <c r="E133" s="296">
        <f t="shared" ref="E133" ca="1" si="40">E3+E45+E105+E130+E131+E132</f>
        <v>1845934.2799999935</v>
      </c>
      <c r="F133" s="296">
        <f t="shared" ref="F133" si="41">F3+F45+F105+F130+F131+F132</f>
        <v>2212856</v>
      </c>
      <c r="G133" s="296">
        <f ca="1">G3+G45+G105+G130+G131+G132</f>
        <v>707278.3099999954</v>
      </c>
      <c r="H133" s="368">
        <f t="shared" ca="1" si="34"/>
        <v>-1505577.6900000046</v>
      </c>
      <c r="I133" s="369">
        <f t="shared" ref="I133:I140" ca="1" si="42">IFERROR(H133/ABS(F133), "-")</f>
        <v>-0.68037761607624025</v>
      </c>
      <c r="J133" s="787" t="s">
        <v>904</v>
      </c>
      <c r="K133" s="368">
        <f t="shared" ca="1" si="35"/>
        <v>-1138655.9699999981</v>
      </c>
      <c r="L133" s="369">
        <f t="shared" ref="L133:L140" ca="1" si="43">IFERROR(K133/ABS(E133), "-")</f>
        <v>-0.61684534619509968</v>
      </c>
      <c r="M133" s="779" t="s">
        <v>880</v>
      </c>
    </row>
    <row r="134" spans="1:13" ht="19.5" customHeight="1" x14ac:dyDescent="0.2">
      <c r="A134" s="424">
        <v>21100</v>
      </c>
      <c r="B134" s="426" t="s">
        <v>205</v>
      </c>
      <c r="C134" s="297"/>
      <c r="D134" s="311"/>
      <c r="E134" s="297"/>
      <c r="F134" s="311"/>
      <c r="G134" s="297"/>
      <c r="H134" s="384">
        <f t="shared" si="34"/>
        <v>0</v>
      </c>
      <c r="I134" s="385" t="str">
        <f t="shared" si="42"/>
        <v>-</v>
      </c>
      <c r="J134" s="787"/>
      <c r="K134" s="384">
        <f t="shared" si="35"/>
        <v>0</v>
      </c>
      <c r="L134" s="385" t="str">
        <f t="shared" si="43"/>
        <v>-</v>
      </c>
      <c r="M134" s="780"/>
    </row>
    <row r="135" spans="1:13" ht="19.5" customHeight="1" x14ac:dyDescent="0.2">
      <c r="A135" s="424">
        <v>21200</v>
      </c>
      <c r="B135" s="426" t="s">
        <v>206</v>
      </c>
      <c r="C135" s="297">
        <v>102055.85</v>
      </c>
      <c r="D135" s="311"/>
      <c r="E135" s="297">
        <v>102055.85</v>
      </c>
      <c r="F135" s="311"/>
      <c r="G135" s="297">
        <v>88812.73</v>
      </c>
      <c r="H135" s="384">
        <f t="shared" si="34"/>
        <v>88812.73</v>
      </c>
      <c r="I135" s="385" t="str">
        <f t="shared" si="42"/>
        <v>-</v>
      </c>
      <c r="J135" s="787"/>
      <c r="K135" s="384">
        <f t="shared" si="35"/>
        <v>-13243.12000000001</v>
      </c>
      <c r="L135" s="385">
        <f t="shared" si="43"/>
        <v>-0.12976345794974034</v>
      </c>
      <c r="M135" s="780"/>
    </row>
    <row r="136" spans="1:13" ht="17.25" customHeight="1" x14ac:dyDescent="0.2">
      <c r="A136" s="424">
        <v>21300</v>
      </c>
      <c r="B136" s="426" t="s">
        <v>207</v>
      </c>
      <c r="C136" s="297"/>
      <c r="D136" s="311"/>
      <c r="E136" s="297"/>
      <c r="F136" s="311"/>
      <c r="G136" s="297"/>
      <c r="H136" s="384">
        <f t="shared" si="34"/>
        <v>0</v>
      </c>
      <c r="I136" s="385" t="str">
        <f t="shared" si="42"/>
        <v>-</v>
      </c>
      <c r="J136" s="787"/>
      <c r="K136" s="384">
        <f t="shared" si="35"/>
        <v>0</v>
      </c>
      <c r="L136" s="385" t="str">
        <f t="shared" si="43"/>
        <v>-</v>
      </c>
      <c r="M136" s="780"/>
    </row>
    <row r="137" spans="1:13" ht="19.5" customHeight="1" x14ac:dyDescent="0.2">
      <c r="A137" s="424">
        <v>21400</v>
      </c>
      <c r="B137" s="426" t="s">
        <v>208</v>
      </c>
      <c r="C137" s="297">
        <v>1167.48</v>
      </c>
      <c r="D137" s="297">
        <v>1168</v>
      </c>
      <c r="E137" s="297">
        <v>1167.48</v>
      </c>
      <c r="F137" s="297">
        <v>1168</v>
      </c>
      <c r="G137" s="297">
        <v>1168.01</v>
      </c>
      <c r="H137" s="384">
        <f t="shared" si="34"/>
        <v>9.9999999999909051E-3</v>
      </c>
      <c r="I137" s="385">
        <f t="shared" si="42"/>
        <v>8.5616438356086518E-6</v>
      </c>
      <c r="J137" s="787"/>
      <c r="K137" s="384">
        <f t="shared" si="35"/>
        <v>0.52999999999997272</v>
      </c>
      <c r="L137" s="385">
        <f t="shared" si="43"/>
        <v>4.5396923287762764E-4</v>
      </c>
      <c r="M137" s="780"/>
    </row>
    <row r="138" spans="1:13" ht="19.5" customHeight="1" x14ac:dyDescent="0.2">
      <c r="A138" s="424">
        <v>21500</v>
      </c>
      <c r="B138" s="426" t="s">
        <v>209</v>
      </c>
      <c r="C138" s="297">
        <f>1742650.23+60</f>
        <v>1742710.23</v>
      </c>
      <c r="D138" s="311">
        <f t="shared" ref="D138:F138" ca="1" si="44">D133-D135-D137-D140</f>
        <v>2211688</v>
      </c>
      <c r="E138" s="297">
        <f>1742650.23+60</f>
        <v>1742710.23</v>
      </c>
      <c r="F138" s="311">
        <f t="shared" si="44"/>
        <v>2211688</v>
      </c>
      <c r="G138" s="297">
        <f>616492.31+805.31</f>
        <v>617297.62000000011</v>
      </c>
      <c r="H138" s="384">
        <f t="shared" si="34"/>
        <v>-1594390.38</v>
      </c>
      <c r="I138" s="385">
        <f t="shared" si="42"/>
        <v>-0.72089299213994007</v>
      </c>
      <c r="J138" s="787"/>
      <c r="K138" s="384">
        <f t="shared" si="35"/>
        <v>-1125412.6099999999</v>
      </c>
      <c r="L138" s="385">
        <f t="shared" si="43"/>
        <v>-0.64578298252142574</v>
      </c>
      <c r="M138" s="780"/>
    </row>
    <row r="139" spans="1:13" ht="19.5" customHeight="1" x14ac:dyDescent="0.2">
      <c r="A139" s="424">
        <v>21600</v>
      </c>
      <c r="B139" s="426" t="s">
        <v>210</v>
      </c>
      <c r="C139" s="297"/>
      <c r="D139" s="311"/>
      <c r="E139" s="297"/>
      <c r="F139" s="311"/>
      <c r="G139" s="297"/>
      <c r="H139" s="384">
        <f t="shared" si="34"/>
        <v>0</v>
      </c>
      <c r="I139" s="385" t="str">
        <f t="shared" si="42"/>
        <v>-</v>
      </c>
      <c r="J139" s="787"/>
      <c r="K139" s="384">
        <f t="shared" si="35"/>
        <v>0</v>
      </c>
      <c r="L139" s="385" t="str">
        <f t="shared" si="43"/>
        <v>-</v>
      </c>
      <c r="M139" s="780"/>
    </row>
    <row r="140" spans="1:13" ht="41.25" customHeight="1" x14ac:dyDescent="0.2">
      <c r="A140" s="424">
        <v>21700</v>
      </c>
      <c r="B140" s="426" t="s">
        <v>211</v>
      </c>
      <c r="C140" s="297"/>
      <c r="D140" s="311"/>
      <c r="E140" s="297"/>
      <c r="F140" s="311"/>
      <c r="G140" s="297"/>
      <c r="H140" s="384">
        <f t="shared" si="34"/>
        <v>0</v>
      </c>
      <c r="I140" s="385" t="str">
        <f t="shared" si="42"/>
        <v>-</v>
      </c>
      <c r="J140" s="787"/>
      <c r="K140" s="384">
        <f>G140-E140</f>
        <v>0</v>
      </c>
      <c r="L140" s="385" t="str">
        <f t="shared" si="43"/>
        <v>-</v>
      </c>
      <c r="M140" s="781"/>
    </row>
    <row r="141" spans="1:13" ht="19.5" x14ac:dyDescent="0.2">
      <c r="A141" s="427"/>
      <c r="B141" s="428"/>
      <c r="C141" s="305"/>
      <c r="E141" s="305"/>
      <c r="G141" s="305"/>
      <c r="H141" s="429"/>
      <c r="I141" s="430"/>
      <c r="J141" s="720"/>
      <c r="K141" s="429"/>
      <c r="L141" s="430"/>
      <c r="M141" s="721"/>
    </row>
    <row r="142" spans="1:13" ht="19.5" x14ac:dyDescent="0.2">
      <c r="A142" s="431" t="s">
        <v>582</v>
      </c>
      <c r="B142" s="428"/>
      <c r="C142" s="305"/>
      <c r="E142" s="305"/>
      <c r="G142" s="305"/>
      <c r="H142" s="429"/>
      <c r="I142" s="430"/>
      <c r="J142" s="720"/>
      <c r="K142" s="429"/>
      <c r="L142" s="430"/>
      <c r="M142" s="721"/>
    </row>
    <row r="143" spans="1:13" ht="37.5" customHeight="1" x14ac:dyDescent="0.2">
      <c r="A143" s="783" t="s">
        <v>572</v>
      </c>
      <c r="B143" s="783"/>
      <c r="C143" s="783"/>
      <c r="D143" s="783"/>
      <c r="E143" s="783"/>
      <c r="F143" s="783"/>
      <c r="G143" s="783"/>
      <c r="H143" s="783"/>
      <c r="J143" s="720"/>
      <c r="M143" s="721"/>
    </row>
    <row r="144" spans="1:13" ht="22.5" x14ac:dyDescent="0.2">
      <c r="A144" s="179" t="s">
        <v>644</v>
      </c>
      <c r="J144" s="720"/>
      <c r="M144" s="721"/>
    </row>
    <row r="145" spans="1:13" x14ac:dyDescent="0.2">
      <c r="A145" s="127" t="s">
        <v>642</v>
      </c>
      <c r="J145" s="720"/>
      <c r="M145" s="721"/>
    </row>
    <row r="146" spans="1:13" ht="18.75" customHeight="1" x14ac:dyDescent="0.2">
      <c r="M146" s="721"/>
    </row>
    <row r="147" spans="1:13" ht="18.75" customHeight="1" x14ac:dyDescent="0.2">
      <c r="M147" s="721"/>
    </row>
    <row r="148" spans="1:13" ht="18.75" customHeight="1" x14ac:dyDescent="0.2">
      <c r="M148" s="721"/>
    </row>
    <row r="149" spans="1:13" ht="18.75" customHeight="1" x14ac:dyDescent="0.2">
      <c r="M149" s="721"/>
    </row>
    <row r="150" spans="1:13" x14ac:dyDescent="0.2">
      <c r="M150" s="721"/>
    </row>
    <row r="152" spans="1:13" x14ac:dyDescent="0.2">
      <c r="M152" s="721"/>
    </row>
    <row r="153" spans="1:13" x14ac:dyDescent="0.2">
      <c r="M153" s="721"/>
    </row>
    <row r="154" spans="1:13" x14ac:dyDescent="0.2">
      <c r="M154" s="721"/>
    </row>
    <row r="155" spans="1:13" x14ac:dyDescent="0.2">
      <c r="M155" s="721"/>
    </row>
    <row r="156" spans="1:13" x14ac:dyDescent="0.2">
      <c r="M156" s="721"/>
    </row>
    <row r="157" spans="1:13" x14ac:dyDescent="0.2">
      <c r="M157" s="721"/>
    </row>
  </sheetData>
  <sheetProtection formatColumns="0" formatRows="0" insertRows="0" deleteRows="0"/>
  <mergeCells count="24">
    <mergeCell ref="M27:M30"/>
    <mergeCell ref="M111:M125"/>
    <mergeCell ref="M56:M71"/>
    <mergeCell ref="J72:J87"/>
    <mergeCell ref="M72:M87"/>
    <mergeCell ref="J111:J125"/>
    <mergeCell ref="J88:J103"/>
    <mergeCell ref="M88:M103"/>
    <mergeCell ref="M133:M140"/>
    <mergeCell ref="B4:H4"/>
    <mergeCell ref="B46:H46"/>
    <mergeCell ref="B106:H106"/>
    <mergeCell ref="A143:H143"/>
    <mergeCell ref="J56:J71"/>
    <mergeCell ref="J133:J140"/>
    <mergeCell ref="J12:J14"/>
    <mergeCell ref="J24:J26"/>
    <mergeCell ref="M12:M14"/>
    <mergeCell ref="J15:J17"/>
    <mergeCell ref="M15:M17"/>
    <mergeCell ref="M18:M22"/>
    <mergeCell ref="J18:J22"/>
    <mergeCell ref="M24:M26"/>
    <mergeCell ref="J27:J30"/>
  </mergeCells>
  <pageMargins left="0.70866141732283472" right="0.70866141732283472" top="0.15748031496062992" bottom="0.15748031496062992" header="0.31496062992125984" footer="0.31496062992125984"/>
  <pageSetup paperSize="9" fitToHeight="2" orientation="landscape" r:id="rId1"/>
  <headerFooter>
    <oddHeader xml:space="preserve">&amp;C&amp;"Times New Roman,Bold"&amp;14
Naudas plūsma&amp;R&amp;"Times New Roman,Regular"&amp;14 4.pielikums
</oddHeader>
    <oddFooter>&amp;C&amp;"Times New Roman,Regular"&amp;12&amp;F&amp;R&amp;"Times New Roman,Regular"&amp;12&amp;P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5">
    <tabColor theme="9" tint="0.79998168889431442"/>
    <pageSetUpPr fitToPage="1"/>
  </sheetPr>
  <dimension ref="A1:O107"/>
  <sheetViews>
    <sheetView zoomScale="80" zoomScaleNormal="80" zoomScalePageLayoutView="40" workbookViewId="0">
      <selection activeCell="H75" sqref="H75"/>
    </sheetView>
  </sheetViews>
  <sheetFormatPr defaultRowHeight="18.75" x14ac:dyDescent="0.2"/>
  <cols>
    <col min="1" max="1" width="9.5703125" style="15" customWidth="1"/>
    <col min="2" max="2" width="50.28515625" style="15" customWidth="1"/>
    <col min="3" max="3" width="15.85546875" style="15" customWidth="1"/>
    <col min="4" max="4" width="15.5703125" style="19" customWidth="1"/>
    <col min="5" max="5" width="15.85546875" style="15" customWidth="1"/>
    <col min="6" max="6" width="15.5703125" style="19" customWidth="1"/>
    <col min="7" max="7" width="20.5703125" style="15" customWidth="1"/>
    <col min="8" max="8" width="22.5703125" style="15" customWidth="1"/>
    <col min="9" max="9" width="19.28515625" style="57" customWidth="1"/>
    <col min="10" max="10" width="37.28515625" style="57" customWidth="1"/>
    <col min="11" max="11" width="27" style="57" customWidth="1"/>
    <col min="12" max="12" width="22.85546875" style="15" customWidth="1"/>
    <col min="13" max="13" width="30.5703125" style="15" customWidth="1"/>
    <col min="14" max="16" width="9.140625" style="15" customWidth="1"/>
    <col min="17" max="16384" width="9.140625" style="15"/>
  </cols>
  <sheetData>
    <row r="1" spans="1:15" ht="131.25" x14ac:dyDescent="0.2">
      <c r="A1" s="13" t="s">
        <v>0</v>
      </c>
      <c r="B1" s="14" t="s">
        <v>282</v>
      </c>
      <c r="C1" s="1" t="s">
        <v>713</v>
      </c>
      <c r="D1" s="1" t="s">
        <v>716</v>
      </c>
      <c r="E1" s="1" t="s">
        <v>816</v>
      </c>
      <c r="F1" s="1" t="s">
        <v>814</v>
      </c>
      <c r="G1" s="1" t="s">
        <v>817</v>
      </c>
      <c r="H1" s="8" t="s">
        <v>717</v>
      </c>
      <c r="I1" s="8" t="s">
        <v>718</v>
      </c>
      <c r="J1" s="67" t="s">
        <v>645</v>
      </c>
      <c r="K1" s="8" t="s">
        <v>720</v>
      </c>
      <c r="L1" s="8" t="s">
        <v>719</v>
      </c>
      <c r="M1" s="67" t="s">
        <v>645</v>
      </c>
    </row>
    <row r="2" spans="1:15" x14ac:dyDescent="0.2">
      <c r="A2" s="9">
        <v>1</v>
      </c>
      <c r="B2" s="1">
        <v>2</v>
      </c>
      <c r="C2" s="1">
        <v>3</v>
      </c>
      <c r="D2" s="1">
        <v>4</v>
      </c>
      <c r="E2" s="1">
        <v>5</v>
      </c>
      <c r="F2" s="1">
        <v>6</v>
      </c>
      <c r="G2" s="1">
        <v>7</v>
      </c>
      <c r="H2" s="8">
        <v>8</v>
      </c>
      <c r="I2" s="10">
        <v>9</v>
      </c>
      <c r="J2" s="1">
        <v>10</v>
      </c>
      <c r="K2" s="11">
        <v>11</v>
      </c>
      <c r="L2" s="10">
        <v>12</v>
      </c>
      <c r="M2" s="1">
        <v>13</v>
      </c>
    </row>
    <row r="3" spans="1:15" ht="19.5" x14ac:dyDescent="0.2">
      <c r="A3" s="23" t="s">
        <v>281</v>
      </c>
      <c r="B3" s="24" t="s">
        <v>469</v>
      </c>
      <c r="C3" s="25" t="s">
        <v>216</v>
      </c>
      <c r="D3" s="25" t="s">
        <v>216</v>
      </c>
      <c r="E3" s="25" t="s">
        <v>216</v>
      </c>
      <c r="F3" s="25" t="s">
        <v>216</v>
      </c>
      <c r="G3" s="26" t="s">
        <v>216</v>
      </c>
      <c r="H3" s="26" t="s">
        <v>216</v>
      </c>
      <c r="I3" s="27" t="s">
        <v>216</v>
      </c>
      <c r="J3" s="192" t="s">
        <v>216</v>
      </c>
      <c r="K3" s="28" t="s">
        <v>216</v>
      </c>
      <c r="L3" s="28" t="s">
        <v>216</v>
      </c>
      <c r="M3" s="368" t="s">
        <v>216</v>
      </c>
    </row>
    <row r="4" spans="1:15" ht="75" x14ac:dyDescent="0.2">
      <c r="A4" s="29" t="s">
        <v>280</v>
      </c>
      <c r="B4" s="30" t="s">
        <v>470</v>
      </c>
      <c r="C4" s="31" t="s">
        <v>216</v>
      </c>
      <c r="D4" s="31" t="s">
        <v>216</v>
      </c>
      <c r="E4" s="31" t="s">
        <v>216</v>
      </c>
      <c r="F4" s="31" t="s">
        <v>216</v>
      </c>
      <c r="G4" s="32" t="s">
        <v>216</v>
      </c>
      <c r="H4" s="32" t="s">
        <v>216</v>
      </c>
      <c r="I4" s="33" t="s">
        <v>216</v>
      </c>
      <c r="J4" s="597" t="s">
        <v>216</v>
      </c>
      <c r="K4" s="33" t="s">
        <v>216</v>
      </c>
      <c r="L4" s="33" t="s">
        <v>216</v>
      </c>
      <c r="M4" s="597" t="s">
        <v>216</v>
      </c>
    </row>
    <row r="5" spans="1:15" s="209" customFormat="1" ht="122.25" customHeight="1" x14ac:dyDescent="0.2">
      <c r="A5" s="203" t="s">
        <v>279</v>
      </c>
      <c r="B5" s="204" t="s">
        <v>471</v>
      </c>
      <c r="C5" s="205">
        <v>24530</v>
      </c>
      <c r="D5" s="205">
        <v>25265</v>
      </c>
      <c r="E5" s="205">
        <v>24530</v>
      </c>
      <c r="F5" s="205">
        <v>25265</v>
      </c>
      <c r="G5" s="206">
        <v>25395</v>
      </c>
      <c r="H5" s="207">
        <f>G5-F5</f>
        <v>130</v>
      </c>
      <c r="I5" s="208">
        <f>IFERROR(H5/ABS(F5), "-")</f>
        <v>5.1454581436770237E-3</v>
      </c>
      <c r="J5" s="246"/>
      <c r="K5" s="84">
        <f>G5-E5</f>
        <v>865</v>
      </c>
      <c r="L5" s="169">
        <f>IFERROR(K5/ABS(E5), "-")</f>
        <v>3.5262943334692216E-2</v>
      </c>
      <c r="M5" s="246"/>
      <c r="O5" s="1"/>
    </row>
    <row r="6" spans="1:15" s="209" customFormat="1" ht="56.25" x14ac:dyDescent="0.2">
      <c r="A6" s="203" t="s">
        <v>278</v>
      </c>
      <c r="B6" s="210" t="s">
        <v>690</v>
      </c>
      <c r="C6" s="187">
        <v>21413</v>
      </c>
      <c r="D6" s="187">
        <v>22055</v>
      </c>
      <c r="E6" s="187">
        <v>21413</v>
      </c>
      <c r="F6" s="187">
        <v>22055</v>
      </c>
      <c r="G6" s="7">
        <v>21821</v>
      </c>
      <c r="H6" s="84">
        <f t="shared" ref="H6:H14" si="0">G6-F6</f>
        <v>-234</v>
      </c>
      <c r="I6" s="208">
        <f t="shared" ref="I6:I14" si="1">IFERROR(H6/ABS(F6), "-")</f>
        <v>-1.060983903876672E-2</v>
      </c>
      <c r="J6" s="246"/>
      <c r="K6" s="84">
        <f t="shared" ref="K6:K14" si="2">G6-E6</f>
        <v>408</v>
      </c>
      <c r="L6" s="169">
        <f t="shared" ref="L6:L14" si="3">IFERROR(K6/ABS(E6), "-")</f>
        <v>1.9053845794610752E-2</v>
      </c>
      <c r="M6" s="246"/>
    </row>
    <row r="7" spans="1:15" s="209" customFormat="1" ht="93.75" x14ac:dyDescent="0.2">
      <c r="A7" s="203" t="s">
        <v>277</v>
      </c>
      <c r="B7" s="210" t="s">
        <v>691</v>
      </c>
      <c r="C7" s="187">
        <v>3117</v>
      </c>
      <c r="D7" s="187">
        <v>3210</v>
      </c>
      <c r="E7" s="187">
        <v>3117</v>
      </c>
      <c r="F7" s="187">
        <v>3210</v>
      </c>
      <c r="G7" s="7">
        <v>3574</v>
      </c>
      <c r="H7" s="84">
        <f t="shared" si="0"/>
        <v>364</v>
      </c>
      <c r="I7" s="208">
        <f t="shared" si="1"/>
        <v>0.11339563862928349</v>
      </c>
      <c r="J7" s="195" t="s">
        <v>818</v>
      </c>
      <c r="K7" s="84">
        <f t="shared" si="2"/>
        <v>457</v>
      </c>
      <c r="L7" s="169">
        <f t="shared" si="3"/>
        <v>0.14661533525826115</v>
      </c>
      <c r="M7" s="195" t="s">
        <v>818</v>
      </c>
    </row>
    <row r="8" spans="1:15" s="209" customFormat="1" ht="56.25" x14ac:dyDescent="0.2">
      <c r="A8" s="203" t="s">
        <v>276</v>
      </c>
      <c r="B8" s="210" t="s">
        <v>692</v>
      </c>
      <c r="C8" s="211"/>
      <c r="D8" s="211"/>
      <c r="E8" s="211"/>
      <c r="F8" s="211"/>
      <c r="G8" s="206"/>
      <c r="H8" s="207">
        <f t="shared" si="0"/>
        <v>0</v>
      </c>
      <c r="I8" s="208" t="str">
        <f t="shared" si="1"/>
        <v>-</v>
      </c>
      <c r="J8" s="194"/>
      <c r="K8" s="84">
        <f t="shared" si="2"/>
        <v>0</v>
      </c>
      <c r="L8" s="169" t="str">
        <f t="shared" si="3"/>
        <v>-</v>
      </c>
      <c r="M8" s="72"/>
    </row>
    <row r="9" spans="1:15" s="209" customFormat="1" ht="56.25" x14ac:dyDescent="0.2">
      <c r="A9" s="212" t="s">
        <v>275</v>
      </c>
      <c r="B9" s="213" t="s">
        <v>472</v>
      </c>
      <c r="C9" s="187"/>
      <c r="D9" s="187"/>
      <c r="E9" s="187"/>
      <c r="F9" s="187"/>
      <c r="G9" s="7"/>
      <c r="H9" s="84">
        <f t="shared" si="0"/>
        <v>0</v>
      </c>
      <c r="I9" s="208" t="str">
        <f t="shared" si="1"/>
        <v>-</v>
      </c>
      <c r="J9" s="194"/>
      <c r="K9" s="84">
        <f t="shared" si="2"/>
        <v>0</v>
      </c>
      <c r="L9" s="169" t="str">
        <f t="shared" si="3"/>
        <v>-</v>
      </c>
      <c r="M9" s="72"/>
    </row>
    <row r="10" spans="1:15" s="209" customFormat="1" ht="37.5" x14ac:dyDescent="0.2">
      <c r="A10" s="212" t="s">
        <v>274</v>
      </c>
      <c r="B10" s="213" t="s">
        <v>473</v>
      </c>
      <c r="C10" s="187"/>
      <c r="D10" s="187"/>
      <c r="E10" s="187"/>
      <c r="F10" s="187"/>
      <c r="G10" s="7"/>
      <c r="H10" s="84">
        <f t="shared" si="0"/>
        <v>0</v>
      </c>
      <c r="I10" s="208" t="str">
        <f t="shared" si="1"/>
        <v>-</v>
      </c>
      <c r="J10" s="194"/>
      <c r="K10" s="84">
        <f t="shared" si="2"/>
        <v>0</v>
      </c>
      <c r="L10" s="169" t="str">
        <f t="shared" si="3"/>
        <v>-</v>
      </c>
      <c r="M10" s="72"/>
    </row>
    <row r="11" spans="1:15" s="209" customFormat="1" ht="93.75" x14ac:dyDescent="0.2">
      <c r="A11" s="212" t="s">
        <v>474</v>
      </c>
      <c r="B11" s="214" t="s">
        <v>475</v>
      </c>
      <c r="C11" s="215">
        <v>3117</v>
      </c>
      <c r="D11" s="215">
        <v>3210</v>
      </c>
      <c r="E11" s="215">
        <v>3117</v>
      </c>
      <c r="F11" s="215">
        <v>3210</v>
      </c>
      <c r="G11" s="215">
        <v>3574</v>
      </c>
      <c r="H11" s="216">
        <f t="shared" si="0"/>
        <v>364</v>
      </c>
      <c r="I11" s="208">
        <f t="shared" si="1"/>
        <v>0.11339563862928349</v>
      </c>
      <c r="J11" s="195" t="s">
        <v>818</v>
      </c>
      <c r="K11" s="217">
        <f t="shared" si="2"/>
        <v>457</v>
      </c>
      <c r="L11" s="218">
        <f t="shared" si="3"/>
        <v>0.14661533525826115</v>
      </c>
      <c r="M11" s="195" t="s">
        <v>818</v>
      </c>
    </row>
    <row r="12" spans="1:15" s="209" customFormat="1" ht="93.75" x14ac:dyDescent="0.2">
      <c r="A12" s="212" t="s">
        <v>476</v>
      </c>
      <c r="B12" s="214" t="s">
        <v>528</v>
      </c>
      <c r="C12" s="79">
        <v>12.71</v>
      </c>
      <c r="D12" s="79">
        <v>12.71</v>
      </c>
      <c r="E12" s="79">
        <v>12.71</v>
      </c>
      <c r="F12" s="79">
        <v>12.71</v>
      </c>
      <c r="G12" s="79">
        <v>14.07</v>
      </c>
      <c r="H12" s="87">
        <f t="shared" si="0"/>
        <v>1.3599999999999994</v>
      </c>
      <c r="I12" s="208">
        <f t="shared" si="1"/>
        <v>0.10700236034618406</v>
      </c>
      <c r="J12" s="195" t="s">
        <v>818</v>
      </c>
      <c r="K12" s="217">
        <f t="shared" si="2"/>
        <v>1.3599999999999994</v>
      </c>
      <c r="L12" s="218">
        <f t="shared" si="3"/>
        <v>0.10700236034618406</v>
      </c>
      <c r="M12" s="195" t="s">
        <v>818</v>
      </c>
    </row>
    <row r="13" spans="1:15" s="209" customFormat="1" x14ac:dyDescent="0.2">
      <c r="A13" s="212" t="s">
        <v>477</v>
      </c>
      <c r="B13" s="214" t="s">
        <v>693</v>
      </c>
      <c r="C13" s="219"/>
      <c r="D13" s="219"/>
      <c r="E13" s="219"/>
      <c r="F13" s="219"/>
      <c r="G13" s="219"/>
      <c r="H13" s="217">
        <f t="shared" si="0"/>
        <v>0</v>
      </c>
      <c r="I13" s="208" t="str">
        <f t="shared" si="1"/>
        <v>-</v>
      </c>
      <c r="J13" s="194"/>
      <c r="K13" s="217">
        <f t="shared" si="2"/>
        <v>0</v>
      </c>
      <c r="L13" s="218" t="str">
        <f t="shared" si="3"/>
        <v>-</v>
      </c>
      <c r="M13" s="200"/>
    </row>
    <row r="14" spans="1:15" s="209" customFormat="1" ht="56.25" x14ac:dyDescent="0.2">
      <c r="A14" s="212" t="s">
        <v>478</v>
      </c>
      <c r="B14" s="214" t="s">
        <v>479</v>
      </c>
      <c r="C14" s="79">
        <v>0</v>
      </c>
      <c r="D14" s="79">
        <v>0</v>
      </c>
      <c r="E14" s="79">
        <v>0</v>
      </c>
      <c r="F14" s="79">
        <v>0</v>
      </c>
      <c r="G14" s="79">
        <v>0</v>
      </c>
      <c r="H14" s="87">
        <f t="shared" si="0"/>
        <v>0</v>
      </c>
      <c r="I14" s="208" t="str">
        <f t="shared" si="1"/>
        <v>-</v>
      </c>
      <c r="J14" s="194"/>
      <c r="K14" s="217">
        <f t="shared" si="2"/>
        <v>0</v>
      </c>
      <c r="L14" s="218" t="str">
        <f t="shared" si="3"/>
        <v>-</v>
      </c>
      <c r="M14" s="200"/>
    </row>
    <row r="15" spans="1:15" s="209" customFormat="1" ht="19.5" x14ac:dyDescent="0.2">
      <c r="A15" s="220" t="s">
        <v>273</v>
      </c>
      <c r="B15" s="221" t="s">
        <v>480</v>
      </c>
      <c r="C15" s="222" t="s">
        <v>216</v>
      </c>
      <c r="D15" s="222"/>
      <c r="E15" s="222" t="s">
        <v>216</v>
      </c>
      <c r="F15" s="222"/>
      <c r="G15" s="223" t="s">
        <v>216</v>
      </c>
      <c r="H15" s="223" t="s">
        <v>216</v>
      </c>
      <c r="I15" s="197" t="s">
        <v>216</v>
      </c>
      <c r="J15" s="197" t="s">
        <v>216</v>
      </c>
      <c r="K15" s="197" t="s">
        <v>216</v>
      </c>
      <c r="L15" s="197" t="s">
        <v>216</v>
      </c>
      <c r="M15" s="197" t="s">
        <v>216</v>
      </c>
    </row>
    <row r="16" spans="1:15" s="209" customFormat="1" x14ac:dyDescent="0.2">
      <c r="A16" s="224" t="s">
        <v>272</v>
      </c>
      <c r="B16" s="225" t="s">
        <v>271</v>
      </c>
      <c r="C16" s="58">
        <v>199</v>
      </c>
      <c r="D16" s="58">
        <v>204</v>
      </c>
      <c r="E16" s="58">
        <v>199</v>
      </c>
      <c r="F16" s="58">
        <v>204</v>
      </c>
      <c r="G16" s="2">
        <v>214</v>
      </c>
      <c r="H16" s="86">
        <f t="shared" ref="H16:H30" si="4">G16-F16</f>
        <v>10</v>
      </c>
      <c r="I16" s="208">
        <f t="shared" ref="I16:I30" si="5">IFERROR(H16/ABS(F16), "-")</f>
        <v>4.9019607843137254E-2</v>
      </c>
      <c r="J16" s="194"/>
      <c r="K16" s="86">
        <f t="shared" ref="K16:K30" si="6">G16-E16</f>
        <v>15</v>
      </c>
      <c r="L16" s="169">
        <f t="shared" ref="L16:L30" si="7">IFERROR(K16/ABS(E16), "-")</f>
        <v>7.5376884422110546E-2</v>
      </c>
      <c r="M16" s="73"/>
    </row>
    <row r="17" spans="1:15" s="209" customFormat="1" ht="72.75" customHeight="1" x14ac:dyDescent="0.2">
      <c r="A17" s="224" t="s">
        <v>348</v>
      </c>
      <c r="B17" s="226" t="s">
        <v>481</v>
      </c>
      <c r="C17" s="59">
        <v>38179</v>
      </c>
      <c r="D17" s="59">
        <v>39324</v>
      </c>
      <c r="E17" s="59">
        <v>38179</v>
      </c>
      <c r="F17" s="59">
        <v>39324</v>
      </c>
      <c r="G17" s="2">
        <v>35191</v>
      </c>
      <c r="H17" s="84">
        <f t="shared" si="4"/>
        <v>-4133</v>
      </c>
      <c r="I17" s="208">
        <f t="shared" si="5"/>
        <v>-0.10510121045671854</v>
      </c>
      <c r="J17" s="195" t="s">
        <v>679</v>
      </c>
      <c r="K17" s="84">
        <f t="shared" si="6"/>
        <v>-2988</v>
      </c>
      <c r="L17" s="169">
        <f t="shared" si="7"/>
        <v>-7.8262919405956158E-2</v>
      </c>
      <c r="M17" s="246"/>
    </row>
    <row r="18" spans="1:15" s="209" customFormat="1" ht="37.5" x14ac:dyDescent="0.2">
      <c r="A18" s="227" t="s">
        <v>283</v>
      </c>
      <c r="B18" s="228" t="s">
        <v>482</v>
      </c>
      <c r="C18" s="113">
        <v>462.79</v>
      </c>
      <c r="D18" s="113">
        <v>527</v>
      </c>
      <c r="E18" s="113">
        <v>462.79</v>
      </c>
      <c r="F18" s="113">
        <v>527</v>
      </c>
      <c r="G18" s="3">
        <v>586</v>
      </c>
      <c r="H18" s="92">
        <f t="shared" si="4"/>
        <v>59</v>
      </c>
      <c r="I18" s="229">
        <f t="shared" si="5"/>
        <v>0.11195445920303605</v>
      </c>
      <c r="J18" s="493" t="s">
        <v>678</v>
      </c>
      <c r="K18" s="92">
        <f>G18-E18</f>
        <v>123.20999999999998</v>
      </c>
      <c r="L18" s="230">
        <f t="shared" si="7"/>
        <v>0.26623306467296176</v>
      </c>
      <c r="M18" s="493" t="s">
        <v>678</v>
      </c>
    </row>
    <row r="19" spans="1:15" s="209" customFormat="1" ht="37.5" x14ac:dyDescent="0.2">
      <c r="A19" s="227" t="s">
        <v>284</v>
      </c>
      <c r="B19" s="228" t="s">
        <v>483</v>
      </c>
      <c r="C19" s="113">
        <v>464</v>
      </c>
      <c r="D19" s="113">
        <v>522</v>
      </c>
      <c r="E19" s="113">
        <v>464</v>
      </c>
      <c r="F19" s="113">
        <v>522</v>
      </c>
      <c r="G19" s="3">
        <v>612</v>
      </c>
      <c r="H19" s="92">
        <f t="shared" si="4"/>
        <v>90</v>
      </c>
      <c r="I19" s="229">
        <f t="shared" si="5"/>
        <v>0.17241379310344829</v>
      </c>
      <c r="J19" s="493" t="s">
        <v>678</v>
      </c>
      <c r="K19" s="92">
        <f t="shared" si="6"/>
        <v>148</v>
      </c>
      <c r="L19" s="230">
        <f t="shared" si="7"/>
        <v>0.31896551724137934</v>
      </c>
      <c r="M19" s="493" t="s">
        <v>678</v>
      </c>
    </row>
    <row r="20" spans="1:15" s="209" customFormat="1" ht="37.5" x14ac:dyDescent="0.2">
      <c r="A20" s="224" t="s">
        <v>270</v>
      </c>
      <c r="B20" s="231" t="s">
        <v>694</v>
      </c>
      <c r="C20" s="58">
        <v>6250</v>
      </c>
      <c r="D20" s="58">
        <v>6438</v>
      </c>
      <c r="E20" s="58">
        <v>6250</v>
      </c>
      <c r="F20" s="58">
        <v>6438</v>
      </c>
      <c r="G20" s="2">
        <v>6086</v>
      </c>
      <c r="H20" s="84">
        <f t="shared" si="4"/>
        <v>-352</v>
      </c>
      <c r="I20" s="208">
        <f t="shared" si="5"/>
        <v>-5.4675365020192608E-2</v>
      </c>
      <c r="J20" s="246"/>
      <c r="K20" s="84">
        <f t="shared" si="6"/>
        <v>-164</v>
      </c>
      <c r="L20" s="169">
        <f t="shared" si="7"/>
        <v>-2.6239999999999999E-2</v>
      </c>
      <c r="M20" s="246"/>
    </row>
    <row r="21" spans="1:15" s="209" customFormat="1" ht="37.5" x14ac:dyDescent="0.2">
      <c r="A21" s="232" t="s">
        <v>346</v>
      </c>
      <c r="B21" s="233" t="s">
        <v>695</v>
      </c>
      <c r="C21" s="58">
        <v>5972</v>
      </c>
      <c r="D21" s="58">
        <v>6151</v>
      </c>
      <c r="E21" s="58">
        <v>5972</v>
      </c>
      <c r="F21" s="58">
        <v>6151</v>
      </c>
      <c r="G21" s="2">
        <v>5827</v>
      </c>
      <c r="H21" s="84">
        <f t="shared" si="4"/>
        <v>-324</v>
      </c>
      <c r="I21" s="208">
        <f t="shared" si="5"/>
        <v>-5.2674361892375225E-2</v>
      </c>
      <c r="J21" s="246"/>
      <c r="K21" s="84">
        <f t="shared" si="6"/>
        <v>-145</v>
      </c>
      <c r="L21" s="169">
        <f t="shared" si="7"/>
        <v>-2.4279973208305425E-2</v>
      </c>
      <c r="M21" s="246"/>
      <c r="O21" s="209" t="s">
        <v>680</v>
      </c>
    </row>
    <row r="22" spans="1:15" s="209" customFormat="1" ht="93.75" x14ac:dyDescent="0.2">
      <c r="A22" s="224" t="s">
        <v>269</v>
      </c>
      <c r="B22" s="225" t="s">
        <v>696</v>
      </c>
      <c r="C22" s="58">
        <v>3133</v>
      </c>
      <c r="D22" s="58">
        <v>3228</v>
      </c>
      <c r="E22" s="58">
        <v>3133</v>
      </c>
      <c r="F22" s="58">
        <v>3228</v>
      </c>
      <c r="G22" s="2">
        <v>2512</v>
      </c>
      <c r="H22" s="84">
        <f t="shared" si="4"/>
        <v>-716</v>
      </c>
      <c r="I22" s="208">
        <f t="shared" si="5"/>
        <v>-0.22180916976456011</v>
      </c>
      <c r="J22" s="195" t="s">
        <v>681</v>
      </c>
      <c r="K22" s="84">
        <f t="shared" si="6"/>
        <v>-621</v>
      </c>
      <c r="L22" s="169">
        <f t="shared" si="7"/>
        <v>-0.19821257580593679</v>
      </c>
      <c r="M22" s="195" t="s">
        <v>681</v>
      </c>
    </row>
    <row r="23" spans="1:15" s="209" customFormat="1" ht="93.75" x14ac:dyDescent="0.2">
      <c r="A23" s="232" t="s">
        <v>347</v>
      </c>
      <c r="B23" s="233" t="s">
        <v>697</v>
      </c>
      <c r="C23" s="58">
        <v>2867</v>
      </c>
      <c r="D23" s="58">
        <v>2953</v>
      </c>
      <c r="E23" s="58">
        <v>2867</v>
      </c>
      <c r="F23" s="58">
        <v>2953</v>
      </c>
      <c r="G23" s="2">
        <v>2275</v>
      </c>
      <c r="H23" s="84">
        <f t="shared" si="4"/>
        <v>-678</v>
      </c>
      <c r="I23" s="208">
        <f t="shared" si="5"/>
        <v>-0.22959701997968168</v>
      </c>
      <c r="J23" s="195" t="s">
        <v>681</v>
      </c>
      <c r="K23" s="84">
        <f t="shared" si="6"/>
        <v>-592</v>
      </c>
      <c r="L23" s="169">
        <f t="shared" si="7"/>
        <v>-0.20648761771886989</v>
      </c>
      <c r="M23" s="195" t="s">
        <v>681</v>
      </c>
    </row>
    <row r="24" spans="1:15" s="209" customFormat="1" ht="93.75" x14ac:dyDescent="0.2">
      <c r="A24" s="232" t="s">
        <v>484</v>
      </c>
      <c r="B24" s="231" t="s">
        <v>698</v>
      </c>
      <c r="C24" s="58">
        <v>3117</v>
      </c>
      <c r="D24" s="58">
        <v>3210</v>
      </c>
      <c r="E24" s="58">
        <v>3117</v>
      </c>
      <c r="F24" s="58">
        <v>3210</v>
      </c>
      <c r="G24" s="2">
        <v>3574</v>
      </c>
      <c r="H24" s="84">
        <f t="shared" si="4"/>
        <v>364</v>
      </c>
      <c r="I24" s="208">
        <f t="shared" si="5"/>
        <v>0.11339563862928349</v>
      </c>
      <c r="J24" s="195" t="s">
        <v>818</v>
      </c>
      <c r="K24" s="84">
        <f t="shared" si="6"/>
        <v>457</v>
      </c>
      <c r="L24" s="169">
        <f t="shared" si="7"/>
        <v>0.14661533525826115</v>
      </c>
      <c r="M24" s="195" t="s">
        <v>818</v>
      </c>
    </row>
    <row r="25" spans="1:15" s="209" customFormat="1" ht="93.75" x14ac:dyDescent="0.2">
      <c r="A25" s="232" t="s">
        <v>485</v>
      </c>
      <c r="B25" s="233" t="s">
        <v>699</v>
      </c>
      <c r="C25" s="58">
        <v>3105</v>
      </c>
      <c r="D25" s="58">
        <v>3198</v>
      </c>
      <c r="E25" s="58">
        <v>3105</v>
      </c>
      <c r="F25" s="58">
        <v>3198</v>
      </c>
      <c r="G25" s="2">
        <v>3552</v>
      </c>
      <c r="H25" s="84">
        <f t="shared" si="4"/>
        <v>354</v>
      </c>
      <c r="I25" s="208">
        <f t="shared" si="5"/>
        <v>0.11069418386491557</v>
      </c>
      <c r="J25" s="195" t="s">
        <v>818</v>
      </c>
      <c r="K25" s="84">
        <f t="shared" si="6"/>
        <v>447</v>
      </c>
      <c r="L25" s="169">
        <f t="shared" si="7"/>
        <v>0.14396135265700483</v>
      </c>
      <c r="M25" s="195" t="s">
        <v>818</v>
      </c>
    </row>
    <row r="26" spans="1:15" s="209" customFormat="1" ht="56.25" x14ac:dyDescent="0.2">
      <c r="A26" s="224" t="s">
        <v>268</v>
      </c>
      <c r="B26" s="214" t="s">
        <v>700</v>
      </c>
      <c r="C26" s="234"/>
      <c r="D26" s="234"/>
      <c r="E26" s="234"/>
      <c r="F26" s="234"/>
      <c r="G26" s="2"/>
      <c r="H26" s="84">
        <f t="shared" si="4"/>
        <v>0</v>
      </c>
      <c r="I26" s="208" t="str">
        <f t="shared" si="5"/>
        <v>-</v>
      </c>
      <c r="J26" s="194"/>
      <c r="K26" s="84">
        <f t="shared" si="6"/>
        <v>0</v>
      </c>
      <c r="L26" s="169" t="str">
        <f t="shared" si="7"/>
        <v>-</v>
      </c>
      <c r="M26" s="72"/>
    </row>
    <row r="27" spans="1:15" s="209" customFormat="1" ht="132" customHeight="1" x14ac:dyDescent="0.2">
      <c r="A27" s="224" t="s">
        <v>267</v>
      </c>
      <c r="B27" s="214" t="s">
        <v>701</v>
      </c>
      <c r="C27" s="234">
        <v>71</v>
      </c>
      <c r="D27" s="234">
        <v>69</v>
      </c>
      <c r="E27" s="234">
        <v>71</v>
      </c>
      <c r="F27" s="234">
        <v>69</v>
      </c>
      <c r="G27" s="2">
        <v>22</v>
      </c>
      <c r="H27" s="84">
        <f t="shared" si="4"/>
        <v>-47</v>
      </c>
      <c r="I27" s="208">
        <f t="shared" si="5"/>
        <v>-0.6811594202898551</v>
      </c>
      <c r="J27" s="195" t="s">
        <v>795</v>
      </c>
      <c r="K27" s="84">
        <f t="shared" si="6"/>
        <v>-49</v>
      </c>
      <c r="L27" s="169">
        <f t="shared" si="7"/>
        <v>-0.6901408450704225</v>
      </c>
      <c r="M27" s="195" t="s">
        <v>795</v>
      </c>
    </row>
    <row r="28" spans="1:15" s="209" customFormat="1" ht="37.5" x14ac:dyDescent="0.2">
      <c r="A28" s="224" t="s">
        <v>266</v>
      </c>
      <c r="B28" s="214" t="s">
        <v>333</v>
      </c>
      <c r="C28" s="234">
        <v>11425</v>
      </c>
      <c r="D28" s="234">
        <v>11768</v>
      </c>
      <c r="E28" s="234">
        <v>11425</v>
      </c>
      <c r="F28" s="234">
        <v>11768</v>
      </c>
      <c r="G28" s="2">
        <v>11662</v>
      </c>
      <c r="H28" s="84">
        <f t="shared" si="4"/>
        <v>-106</v>
      </c>
      <c r="I28" s="208">
        <f t="shared" si="5"/>
        <v>-9.0074779061862682E-3</v>
      </c>
      <c r="J28" s="246"/>
      <c r="K28" s="84">
        <f t="shared" si="6"/>
        <v>237</v>
      </c>
      <c r="L28" s="169">
        <f t="shared" si="7"/>
        <v>2.074398249452954E-2</v>
      </c>
      <c r="M28" s="201"/>
    </row>
    <row r="29" spans="1:15" s="209" customFormat="1" ht="37.5" x14ac:dyDescent="0.2">
      <c r="A29" s="227" t="s">
        <v>265</v>
      </c>
      <c r="B29" s="228" t="s">
        <v>334</v>
      </c>
      <c r="C29" s="113">
        <v>6.1</v>
      </c>
      <c r="D29" s="113">
        <v>6.04</v>
      </c>
      <c r="E29" s="113">
        <v>6.1</v>
      </c>
      <c r="F29" s="113">
        <v>6.04</v>
      </c>
      <c r="G29" s="71">
        <v>5.88</v>
      </c>
      <c r="H29" s="120">
        <f t="shared" si="4"/>
        <v>-0.16000000000000014</v>
      </c>
      <c r="I29" s="229">
        <f t="shared" si="5"/>
        <v>-2.6490066225165587E-2</v>
      </c>
      <c r="J29" s="198"/>
      <c r="K29" s="120">
        <f t="shared" si="6"/>
        <v>-0.21999999999999975</v>
      </c>
      <c r="L29" s="230">
        <f t="shared" si="7"/>
        <v>-3.6065573770491764E-2</v>
      </c>
      <c r="M29" s="201"/>
    </row>
    <row r="30" spans="1:15" s="209" customFormat="1" ht="75" x14ac:dyDescent="0.2">
      <c r="A30" s="227" t="s">
        <v>264</v>
      </c>
      <c r="B30" s="228" t="s">
        <v>529</v>
      </c>
      <c r="C30" s="113">
        <v>52.23</v>
      </c>
      <c r="D30" s="113">
        <v>53.8</v>
      </c>
      <c r="E30" s="113">
        <v>52.23</v>
      </c>
      <c r="F30" s="113">
        <v>53.8</v>
      </c>
      <c r="G30" s="71">
        <v>45.73</v>
      </c>
      <c r="H30" s="120">
        <f t="shared" si="4"/>
        <v>-8.07</v>
      </c>
      <c r="I30" s="229">
        <f t="shared" si="5"/>
        <v>-0.15000000000000002</v>
      </c>
      <c r="J30" s="195" t="s">
        <v>679</v>
      </c>
      <c r="K30" s="120">
        <f t="shared" si="6"/>
        <v>-6.5</v>
      </c>
      <c r="L30" s="230">
        <f t="shared" si="7"/>
        <v>-0.12444955006701131</v>
      </c>
      <c r="M30" s="195" t="s">
        <v>679</v>
      </c>
    </row>
    <row r="31" spans="1:15" s="209" customFormat="1" ht="19.5" x14ac:dyDescent="0.2">
      <c r="A31" s="235" t="s">
        <v>263</v>
      </c>
      <c r="B31" s="236" t="s">
        <v>486</v>
      </c>
      <c r="C31" s="237" t="s">
        <v>216</v>
      </c>
      <c r="D31" s="237"/>
      <c r="E31" s="237" t="s">
        <v>216</v>
      </c>
      <c r="F31" s="237"/>
      <c r="G31" s="223" t="s">
        <v>216</v>
      </c>
      <c r="H31" s="223" t="s">
        <v>216</v>
      </c>
      <c r="I31" s="197" t="s">
        <v>216</v>
      </c>
      <c r="J31" s="199" t="s">
        <v>216</v>
      </c>
      <c r="K31" s="197" t="s">
        <v>216</v>
      </c>
      <c r="L31" s="197" t="s">
        <v>216</v>
      </c>
      <c r="M31" s="199" t="s">
        <v>216</v>
      </c>
    </row>
    <row r="32" spans="1:15" s="209" customFormat="1" x14ac:dyDescent="0.2">
      <c r="A32" s="227" t="s">
        <v>261</v>
      </c>
      <c r="B32" s="228" t="s">
        <v>487</v>
      </c>
      <c r="C32" s="238">
        <v>96912</v>
      </c>
      <c r="D32" s="238">
        <v>99819</v>
      </c>
      <c r="E32" s="238">
        <v>96912</v>
      </c>
      <c r="F32" s="238">
        <v>99819</v>
      </c>
      <c r="G32" s="239">
        <v>103252</v>
      </c>
      <c r="H32" s="207">
        <f t="shared" ref="H32:H40" si="8">G32-F32</f>
        <v>3433</v>
      </c>
      <c r="I32" s="208">
        <f t="shared" ref="I32:I40" si="9">IFERROR(H32/ABS(F32), "-")</f>
        <v>3.4392249972450134E-2</v>
      </c>
      <c r="J32" s="246"/>
      <c r="K32" s="84">
        <f t="shared" ref="K32:K40" si="10">G32-E32</f>
        <v>6340</v>
      </c>
      <c r="L32" s="169">
        <f t="shared" ref="L32:L40" si="11">IFERROR(K32/ABS(E32), "-")</f>
        <v>6.5420175004127459E-2</v>
      </c>
      <c r="M32" s="246"/>
    </row>
    <row r="33" spans="1:13" s="209" customFormat="1" x14ac:dyDescent="0.2">
      <c r="A33" s="224" t="s">
        <v>335</v>
      </c>
      <c r="B33" s="160" t="s">
        <v>488</v>
      </c>
      <c r="C33" s="59">
        <v>79167</v>
      </c>
      <c r="D33" s="59">
        <v>81542</v>
      </c>
      <c r="E33" s="59">
        <v>79167</v>
      </c>
      <c r="F33" s="59">
        <v>81542</v>
      </c>
      <c r="G33" s="2">
        <v>84242</v>
      </c>
      <c r="H33" s="84">
        <f t="shared" si="8"/>
        <v>2700</v>
      </c>
      <c r="I33" s="208">
        <f t="shared" si="9"/>
        <v>3.3111770621274926E-2</v>
      </c>
      <c r="J33" s="246"/>
      <c r="K33" s="84">
        <f t="shared" si="10"/>
        <v>5075</v>
      </c>
      <c r="L33" s="169">
        <f t="shared" si="11"/>
        <v>6.4104993242133715E-2</v>
      </c>
      <c r="M33" s="246"/>
    </row>
    <row r="34" spans="1:13" s="209" customFormat="1" x14ac:dyDescent="0.2">
      <c r="A34" s="224" t="s">
        <v>336</v>
      </c>
      <c r="B34" s="240" t="s">
        <v>262</v>
      </c>
      <c r="C34" s="59">
        <v>465</v>
      </c>
      <c r="D34" s="59">
        <v>470</v>
      </c>
      <c r="E34" s="59">
        <v>465</v>
      </c>
      <c r="F34" s="59">
        <v>470</v>
      </c>
      <c r="G34" s="2">
        <v>471</v>
      </c>
      <c r="H34" s="84">
        <f t="shared" si="8"/>
        <v>1</v>
      </c>
      <c r="I34" s="208">
        <f t="shared" si="9"/>
        <v>2.1276595744680851E-3</v>
      </c>
      <c r="J34" s="246"/>
      <c r="K34" s="84">
        <f t="shared" si="10"/>
        <v>6</v>
      </c>
      <c r="L34" s="169">
        <f t="shared" si="11"/>
        <v>1.2903225806451613E-2</v>
      </c>
      <c r="M34" s="201"/>
    </row>
    <row r="35" spans="1:13" s="209" customFormat="1" x14ac:dyDescent="0.2">
      <c r="A35" s="224" t="s">
        <v>337</v>
      </c>
      <c r="B35" s="160" t="s">
        <v>489</v>
      </c>
      <c r="C35" s="59">
        <v>17745</v>
      </c>
      <c r="D35" s="59">
        <v>18277</v>
      </c>
      <c r="E35" s="59">
        <v>17745</v>
      </c>
      <c r="F35" s="59">
        <v>18277</v>
      </c>
      <c r="G35" s="2">
        <v>19010</v>
      </c>
      <c r="H35" s="84">
        <f t="shared" si="8"/>
        <v>733</v>
      </c>
      <c r="I35" s="208">
        <f t="shared" si="9"/>
        <v>4.0105050062920609E-2</v>
      </c>
      <c r="J35" s="246"/>
      <c r="K35" s="84">
        <f t="shared" si="10"/>
        <v>1265</v>
      </c>
      <c r="L35" s="169">
        <f t="shared" si="11"/>
        <v>7.128768667230205E-2</v>
      </c>
      <c r="M35" s="246"/>
    </row>
    <row r="36" spans="1:13" s="209" customFormat="1" x14ac:dyDescent="0.2">
      <c r="A36" s="224" t="s">
        <v>338</v>
      </c>
      <c r="B36" s="240" t="s">
        <v>262</v>
      </c>
      <c r="C36" s="59">
        <v>0</v>
      </c>
      <c r="D36" s="59">
        <v>0</v>
      </c>
      <c r="E36" s="59">
        <v>0</v>
      </c>
      <c r="F36" s="59">
        <v>0</v>
      </c>
      <c r="G36" s="2">
        <v>0</v>
      </c>
      <c r="H36" s="84">
        <f t="shared" si="8"/>
        <v>0</v>
      </c>
      <c r="I36" s="208" t="str">
        <f t="shared" si="9"/>
        <v>-</v>
      </c>
      <c r="J36" s="194"/>
      <c r="K36" s="84">
        <f t="shared" si="10"/>
        <v>0</v>
      </c>
      <c r="L36" s="169" t="str">
        <f t="shared" si="11"/>
        <v>-</v>
      </c>
      <c r="M36" s="72"/>
    </row>
    <row r="37" spans="1:13" s="209" customFormat="1" x14ac:dyDescent="0.2">
      <c r="A37" s="224" t="s">
        <v>340</v>
      </c>
      <c r="B37" s="226" t="s">
        <v>345</v>
      </c>
      <c r="C37" s="59"/>
      <c r="D37" s="59"/>
      <c r="E37" s="59"/>
      <c r="F37" s="59"/>
      <c r="G37" s="2"/>
      <c r="H37" s="84">
        <f t="shared" si="8"/>
        <v>0</v>
      </c>
      <c r="I37" s="208" t="str">
        <f t="shared" si="9"/>
        <v>-</v>
      </c>
      <c r="J37" s="194"/>
      <c r="K37" s="84">
        <f t="shared" si="10"/>
        <v>0</v>
      </c>
      <c r="L37" s="169" t="str">
        <f t="shared" si="11"/>
        <v>-</v>
      </c>
      <c r="M37" s="72"/>
    </row>
    <row r="38" spans="1:13" s="209" customFormat="1" ht="37.5" x14ac:dyDescent="0.2">
      <c r="A38" s="224" t="s">
        <v>341</v>
      </c>
      <c r="B38" s="226" t="s">
        <v>530</v>
      </c>
      <c r="C38" s="59"/>
      <c r="D38" s="59"/>
      <c r="E38" s="59"/>
      <c r="F38" s="59"/>
      <c r="G38" s="2"/>
      <c r="H38" s="84">
        <f t="shared" si="8"/>
        <v>0</v>
      </c>
      <c r="I38" s="208" t="str">
        <f t="shared" si="9"/>
        <v>-</v>
      </c>
      <c r="J38" s="194"/>
      <c r="K38" s="84">
        <f t="shared" si="10"/>
        <v>0</v>
      </c>
      <c r="L38" s="169" t="str">
        <f t="shared" si="11"/>
        <v>-</v>
      </c>
      <c r="M38" s="72"/>
    </row>
    <row r="39" spans="1:13" s="209" customFormat="1" ht="93.75" x14ac:dyDescent="0.2">
      <c r="A39" s="224" t="s">
        <v>339</v>
      </c>
      <c r="B39" s="228" t="s">
        <v>702</v>
      </c>
      <c r="C39" s="113">
        <v>5431</v>
      </c>
      <c r="D39" s="113">
        <v>5540</v>
      </c>
      <c r="E39" s="113">
        <v>5431</v>
      </c>
      <c r="F39" s="113">
        <v>5540</v>
      </c>
      <c r="G39" s="2">
        <v>2793</v>
      </c>
      <c r="H39" s="84">
        <f t="shared" si="8"/>
        <v>-2747</v>
      </c>
      <c r="I39" s="208">
        <f t="shared" si="9"/>
        <v>-0.49584837545126353</v>
      </c>
      <c r="J39" s="195" t="s">
        <v>777</v>
      </c>
      <c r="K39" s="84">
        <f t="shared" si="10"/>
        <v>-2638</v>
      </c>
      <c r="L39" s="169">
        <f t="shared" si="11"/>
        <v>-0.4857300681274167</v>
      </c>
      <c r="M39" s="196" t="s">
        <v>777</v>
      </c>
    </row>
    <row r="40" spans="1:13" s="209" customFormat="1" ht="131.25" x14ac:dyDescent="0.2">
      <c r="A40" s="241" t="s">
        <v>356</v>
      </c>
      <c r="B40" s="242" t="s">
        <v>358</v>
      </c>
      <c r="C40" s="243">
        <v>442</v>
      </c>
      <c r="D40" s="243">
        <v>446</v>
      </c>
      <c r="E40" s="243">
        <v>442</v>
      </c>
      <c r="F40" s="243">
        <v>446</v>
      </c>
      <c r="G40" s="2">
        <v>366</v>
      </c>
      <c r="H40" s="84">
        <f t="shared" si="8"/>
        <v>-80</v>
      </c>
      <c r="I40" s="244">
        <f t="shared" si="9"/>
        <v>-0.17937219730941703</v>
      </c>
      <c r="J40" s="195" t="s">
        <v>819</v>
      </c>
      <c r="K40" s="84">
        <f t="shared" si="10"/>
        <v>-76</v>
      </c>
      <c r="L40" s="169">
        <f t="shared" si="11"/>
        <v>-0.17194570135746606</v>
      </c>
      <c r="M40" s="195" t="s">
        <v>819</v>
      </c>
    </row>
    <row r="41" spans="1:13" ht="122.25" customHeight="1" x14ac:dyDescent="0.2">
      <c r="A41" s="23" t="s">
        <v>260</v>
      </c>
      <c r="B41" s="36" t="s">
        <v>490</v>
      </c>
      <c r="C41" s="37" t="s">
        <v>216</v>
      </c>
      <c r="D41" s="37" t="s">
        <v>216</v>
      </c>
      <c r="E41" s="37" t="s">
        <v>216</v>
      </c>
      <c r="F41" s="37" t="s">
        <v>216</v>
      </c>
      <c r="G41" s="26" t="s">
        <v>216</v>
      </c>
      <c r="H41" s="26" t="s">
        <v>216</v>
      </c>
      <c r="I41" s="27" t="s">
        <v>216</v>
      </c>
      <c r="J41" s="27" t="s">
        <v>216</v>
      </c>
      <c r="K41" s="27" t="s">
        <v>216</v>
      </c>
      <c r="L41" s="27" t="s">
        <v>216</v>
      </c>
      <c r="M41" s="27" t="s">
        <v>216</v>
      </c>
    </row>
    <row r="42" spans="1:13" x14ac:dyDescent="0.2">
      <c r="A42" s="34" t="s">
        <v>259</v>
      </c>
      <c r="B42" s="38" t="s">
        <v>252</v>
      </c>
      <c r="C42" s="5"/>
      <c r="D42" s="5"/>
      <c r="E42" s="5"/>
      <c r="F42" s="5"/>
      <c r="G42" s="7"/>
      <c r="H42" s="84">
        <f t="shared" ref="H42:H46" si="12">G42-F42</f>
        <v>0</v>
      </c>
      <c r="I42" s="77" t="str">
        <f t="shared" ref="I42:I46" si="13">IFERROR(H42/ABS(F42), "-")</f>
        <v>-</v>
      </c>
      <c r="J42" s="80"/>
      <c r="K42" s="84">
        <f t="shared" ref="K42:K46" si="14">G42-E42</f>
        <v>0</v>
      </c>
      <c r="L42" s="85" t="str">
        <f t="shared" ref="L42:L46" si="15">IFERROR(K42/ABS(E42), "-")</f>
        <v>-</v>
      </c>
      <c r="M42" s="72"/>
    </row>
    <row r="43" spans="1:13" ht="37.5" x14ac:dyDescent="0.2">
      <c r="A43" s="34" t="s">
        <v>258</v>
      </c>
      <c r="B43" s="38" t="s">
        <v>507</v>
      </c>
      <c r="C43" s="5"/>
      <c r="D43" s="5"/>
      <c r="E43" s="5"/>
      <c r="F43" s="5"/>
      <c r="G43" s="7"/>
      <c r="H43" s="84">
        <f t="shared" si="12"/>
        <v>0</v>
      </c>
      <c r="I43" s="77" t="str">
        <f t="shared" si="13"/>
        <v>-</v>
      </c>
      <c r="J43" s="80"/>
      <c r="K43" s="84">
        <f t="shared" si="14"/>
        <v>0</v>
      </c>
      <c r="L43" s="85" t="str">
        <f t="shared" si="15"/>
        <v>-</v>
      </c>
      <c r="M43" s="72"/>
    </row>
    <row r="44" spans="1:13" x14ac:dyDescent="0.2">
      <c r="A44" s="34" t="s">
        <v>257</v>
      </c>
      <c r="B44" s="38" t="s">
        <v>508</v>
      </c>
      <c r="C44" s="5"/>
      <c r="D44" s="5"/>
      <c r="E44" s="5"/>
      <c r="F44" s="5"/>
      <c r="G44" s="7"/>
      <c r="H44" s="84">
        <f t="shared" si="12"/>
        <v>0</v>
      </c>
      <c r="I44" s="77" t="str">
        <f t="shared" si="13"/>
        <v>-</v>
      </c>
      <c r="J44" s="80"/>
      <c r="K44" s="84">
        <f t="shared" si="14"/>
        <v>0</v>
      </c>
      <c r="L44" s="85" t="str">
        <f t="shared" si="15"/>
        <v>-</v>
      </c>
      <c r="M44" s="72"/>
    </row>
    <row r="45" spans="1:13" x14ac:dyDescent="0.2">
      <c r="A45" s="34" t="s">
        <v>256</v>
      </c>
      <c r="B45" s="38" t="s">
        <v>248</v>
      </c>
      <c r="C45" s="5"/>
      <c r="D45" s="5"/>
      <c r="E45" s="5"/>
      <c r="F45" s="5"/>
      <c r="G45" s="7"/>
      <c r="H45" s="84">
        <f t="shared" si="12"/>
        <v>0</v>
      </c>
      <c r="I45" s="77" t="str">
        <f t="shared" si="13"/>
        <v>-</v>
      </c>
      <c r="J45" s="80"/>
      <c r="K45" s="84">
        <f t="shared" si="14"/>
        <v>0</v>
      </c>
      <c r="L45" s="85" t="str">
        <f t="shared" si="15"/>
        <v>-</v>
      </c>
      <c r="M45" s="72"/>
    </row>
    <row r="46" spans="1:13" x14ac:dyDescent="0.2">
      <c r="A46" s="34" t="s">
        <v>255</v>
      </c>
      <c r="B46" s="38" t="s">
        <v>509</v>
      </c>
      <c r="C46" s="5"/>
      <c r="D46" s="5"/>
      <c r="E46" s="5"/>
      <c r="F46" s="5"/>
      <c r="G46" s="7"/>
      <c r="H46" s="84">
        <f t="shared" si="12"/>
        <v>0</v>
      </c>
      <c r="I46" s="77" t="str">
        <f t="shared" si="13"/>
        <v>-</v>
      </c>
      <c r="J46" s="80"/>
      <c r="K46" s="84">
        <f t="shared" si="14"/>
        <v>0</v>
      </c>
      <c r="L46" s="85" t="str">
        <f t="shared" si="15"/>
        <v>-</v>
      </c>
      <c r="M46" s="72"/>
    </row>
    <row r="47" spans="1:13" ht="19.5" x14ac:dyDescent="0.2">
      <c r="A47" s="23" t="s">
        <v>254</v>
      </c>
      <c r="B47" s="36" t="s">
        <v>491</v>
      </c>
      <c r="C47" s="37" t="s">
        <v>216</v>
      </c>
      <c r="D47" s="37" t="s">
        <v>216</v>
      </c>
      <c r="E47" s="37" t="s">
        <v>216</v>
      </c>
      <c r="F47" s="37" t="s">
        <v>216</v>
      </c>
      <c r="G47" s="26" t="s">
        <v>216</v>
      </c>
      <c r="H47" s="26" t="s">
        <v>216</v>
      </c>
      <c r="I47" s="27" t="s">
        <v>216</v>
      </c>
      <c r="J47" s="27" t="s">
        <v>216</v>
      </c>
      <c r="K47" s="27" t="s">
        <v>216</v>
      </c>
      <c r="L47" s="27" t="s">
        <v>216</v>
      </c>
      <c r="M47" s="27" t="s">
        <v>216</v>
      </c>
    </row>
    <row r="48" spans="1:13" x14ac:dyDescent="0.2">
      <c r="A48" s="34" t="s">
        <v>253</v>
      </c>
      <c r="B48" s="38" t="s">
        <v>252</v>
      </c>
      <c r="C48" s="5"/>
      <c r="D48" s="5"/>
      <c r="E48" s="5"/>
      <c r="F48" s="5"/>
      <c r="G48" s="7"/>
      <c r="H48" s="84">
        <f t="shared" ref="H48:H52" si="16">G48-F48</f>
        <v>0</v>
      </c>
      <c r="I48" s="77" t="str">
        <f t="shared" ref="I48:I52" si="17">IFERROR(H48/ABS(F48), "-")</f>
        <v>-</v>
      </c>
      <c r="J48" s="80"/>
      <c r="K48" s="84">
        <f t="shared" ref="K48:K52" si="18">G48-E48</f>
        <v>0</v>
      </c>
      <c r="L48" s="85" t="str">
        <f t="shared" ref="L48:L52" si="19">IFERROR(K48/ABS(E48), "-")</f>
        <v>-</v>
      </c>
      <c r="M48" s="72"/>
    </row>
    <row r="49" spans="1:13" ht="37.5" x14ac:dyDescent="0.2">
      <c r="A49" s="34" t="s">
        <v>251</v>
      </c>
      <c r="B49" s="38" t="s">
        <v>507</v>
      </c>
      <c r="C49" s="5"/>
      <c r="D49" s="5"/>
      <c r="E49" s="5"/>
      <c r="F49" s="5"/>
      <c r="G49" s="7"/>
      <c r="H49" s="84">
        <f t="shared" si="16"/>
        <v>0</v>
      </c>
      <c r="I49" s="77" t="str">
        <f t="shared" si="17"/>
        <v>-</v>
      </c>
      <c r="J49" s="80"/>
      <c r="K49" s="84">
        <f t="shared" si="18"/>
        <v>0</v>
      </c>
      <c r="L49" s="85" t="str">
        <f t="shared" si="19"/>
        <v>-</v>
      </c>
      <c r="M49" s="72"/>
    </row>
    <row r="50" spans="1:13" x14ac:dyDescent="0.2">
      <c r="A50" s="34" t="s">
        <v>250</v>
      </c>
      <c r="B50" s="38" t="s">
        <v>508</v>
      </c>
      <c r="C50" s="5"/>
      <c r="D50" s="5"/>
      <c r="E50" s="5"/>
      <c r="F50" s="5"/>
      <c r="G50" s="7"/>
      <c r="H50" s="84">
        <f t="shared" si="16"/>
        <v>0</v>
      </c>
      <c r="I50" s="77" t="str">
        <f t="shared" si="17"/>
        <v>-</v>
      </c>
      <c r="J50" s="80"/>
      <c r="K50" s="84">
        <f t="shared" si="18"/>
        <v>0</v>
      </c>
      <c r="L50" s="85" t="str">
        <f t="shared" si="19"/>
        <v>-</v>
      </c>
      <c r="M50" s="72"/>
    </row>
    <row r="51" spans="1:13" x14ac:dyDescent="0.2">
      <c r="A51" s="34" t="s">
        <v>249</v>
      </c>
      <c r="B51" s="38" t="s">
        <v>248</v>
      </c>
      <c r="C51" s="5"/>
      <c r="D51" s="5"/>
      <c r="E51" s="5"/>
      <c r="F51" s="5"/>
      <c r="G51" s="7"/>
      <c r="H51" s="84">
        <f t="shared" si="16"/>
        <v>0</v>
      </c>
      <c r="I51" s="77" t="str">
        <f t="shared" si="17"/>
        <v>-</v>
      </c>
      <c r="J51" s="80"/>
      <c r="K51" s="84">
        <f t="shared" si="18"/>
        <v>0</v>
      </c>
      <c r="L51" s="85" t="str">
        <f t="shared" si="19"/>
        <v>-</v>
      </c>
      <c r="M51" s="72"/>
    </row>
    <row r="52" spans="1:13" x14ac:dyDescent="0.2">
      <c r="A52" s="34" t="s">
        <v>247</v>
      </c>
      <c r="B52" s="38" t="s">
        <v>509</v>
      </c>
      <c r="C52" s="5"/>
      <c r="D52" s="5"/>
      <c r="E52" s="5"/>
      <c r="F52" s="5"/>
      <c r="G52" s="7"/>
      <c r="H52" s="84">
        <f t="shared" si="16"/>
        <v>0</v>
      </c>
      <c r="I52" s="77" t="str">
        <f t="shared" si="17"/>
        <v>-</v>
      </c>
      <c r="J52" s="80"/>
      <c r="K52" s="84">
        <f t="shared" si="18"/>
        <v>0</v>
      </c>
      <c r="L52" s="85" t="str">
        <f t="shared" si="19"/>
        <v>-</v>
      </c>
      <c r="M52" s="72"/>
    </row>
    <row r="53" spans="1:13" s="209" customFormat="1" ht="72.75" customHeight="1" x14ac:dyDescent="0.2">
      <c r="A53" s="250" t="s">
        <v>246</v>
      </c>
      <c r="B53" s="251" t="s">
        <v>492</v>
      </c>
      <c r="C53" s="188" t="s">
        <v>216</v>
      </c>
      <c r="D53" s="188" t="s">
        <v>216</v>
      </c>
      <c r="E53" s="188" t="s">
        <v>216</v>
      </c>
      <c r="F53" s="188" t="s">
        <v>216</v>
      </c>
      <c r="G53" s="189" t="s">
        <v>216</v>
      </c>
      <c r="H53" s="189" t="s">
        <v>216</v>
      </c>
      <c r="I53" s="192" t="s">
        <v>216</v>
      </c>
      <c r="J53" s="192" t="s">
        <v>216</v>
      </c>
      <c r="K53" s="192" t="s">
        <v>216</v>
      </c>
      <c r="L53" s="192" t="s">
        <v>216</v>
      </c>
      <c r="M53" s="192" t="s">
        <v>216</v>
      </c>
    </row>
    <row r="54" spans="1:13" s="209" customFormat="1" ht="19.5" x14ac:dyDescent="0.2">
      <c r="A54" s="252" t="s">
        <v>245</v>
      </c>
      <c r="B54" s="253" t="s">
        <v>244</v>
      </c>
      <c r="C54" s="107">
        <v>563.29999999999995</v>
      </c>
      <c r="D54" s="107">
        <v>563</v>
      </c>
      <c r="E54" s="107">
        <v>563.29999999999995</v>
      </c>
      <c r="F54" s="107">
        <v>563</v>
      </c>
      <c r="G54" s="107">
        <v>577</v>
      </c>
      <c r="H54" s="108">
        <f t="shared" ref="H54:H77" si="20">G54-F54</f>
        <v>14</v>
      </c>
      <c r="I54" s="254">
        <f t="shared" ref="I54:I77" si="21">IFERROR(H54/ABS(F54), "-")</f>
        <v>2.4866785079928951E-2</v>
      </c>
      <c r="J54" s="193"/>
      <c r="K54" s="61">
        <f t="shared" ref="K54:K77" si="22">G54-E54</f>
        <v>13.700000000000045</v>
      </c>
      <c r="L54" s="255">
        <f t="shared" ref="L54:L77" si="23">IFERROR(K54/ABS(E54), "-")</f>
        <v>2.4320965737617693E-2</v>
      </c>
      <c r="M54" s="75"/>
    </row>
    <row r="55" spans="1:13" s="209" customFormat="1" ht="22.5" x14ac:dyDescent="0.2">
      <c r="A55" s="224" t="s">
        <v>243</v>
      </c>
      <c r="B55" s="256" t="s">
        <v>510</v>
      </c>
      <c r="C55" s="7">
        <v>108</v>
      </c>
      <c r="D55" s="7">
        <v>108.33333333333333</v>
      </c>
      <c r="E55" s="7">
        <v>108</v>
      </c>
      <c r="F55" s="7">
        <v>108.33333333333333</v>
      </c>
      <c r="G55" s="2">
        <v>111</v>
      </c>
      <c r="H55" s="86">
        <f t="shared" si="20"/>
        <v>2.6666666666666714</v>
      </c>
      <c r="I55" s="208">
        <f t="shared" si="21"/>
        <v>2.461538461538466E-2</v>
      </c>
      <c r="J55" s="194"/>
      <c r="K55" s="86">
        <f t="shared" si="22"/>
        <v>3</v>
      </c>
      <c r="L55" s="169">
        <f t="shared" si="23"/>
        <v>2.7777777777777776E-2</v>
      </c>
      <c r="M55" s="494"/>
    </row>
    <row r="56" spans="1:13" s="209" customFormat="1" ht="22.5" x14ac:dyDescent="0.2">
      <c r="A56" s="224" t="s">
        <v>242</v>
      </c>
      <c r="B56" s="256" t="s">
        <v>511</v>
      </c>
      <c r="C56" s="7">
        <v>190</v>
      </c>
      <c r="D56" s="7">
        <v>190</v>
      </c>
      <c r="E56" s="7">
        <v>190</v>
      </c>
      <c r="F56" s="7">
        <v>190</v>
      </c>
      <c r="G56" s="7">
        <v>195</v>
      </c>
      <c r="H56" s="84">
        <f t="shared" si="20"/>
        <v>5</v>
      </c>
      <c r="I56" s="208">
        <f t="shared" si="21"/>
        <v>2.6315789473684209E-2</v>
      </c>
      <c r="J56" s="194"/>
      <c r="K56" s="84">
        <f t="shared" si="22"/>
        <v>5</v>
      </c>
      <c r="L56" s="169">
        <f t="shared" si="23"/>
        <v>2.6315789473684209E-2</v>
      </c>
      <c r="M56" s="341"/>
    </row>
    <row r="57" spans="1:13" s="209" customFormat="1" ht="41.25" x14ac:dyDescent="0.2">
      <c r="A57" s="224" t="s">
        <v>241</v>
      </c>
      <c r="B57" s="257" t="s">
        <v>512</v>
      </c>
      <c r="C57" s="59">
        <v>46.3</v>
      </c>
      <c r="D57" s="59">
        <v>46.1</v>
      </c>
      <c r="E57" s="59">
        <v>46.3</v>
      </c>
      <c r="F57" s="59">
        <v>46.1</v>
      </c>
      <c r="G57" s="7">
        <v>45</v>
      </c>
      <c r="H57" s="84">
        <f t="shared" si="20"/>
        <v>-1.1000000000000014</v>
      </c>
      <c r="I57" s="208">
        <f t="shared" si="21"/>
        <v>-2.3861171366594391E-2</v>
      </c>
      <c r="J57" s="194"/>
      <c r="K57" s="84">
        <f t="shared" si="22"/>
        <v>-1.2999999999999972</v>
      </c>
      <c r="L57" s="169">
        <f t="shared" si="23"/>
        <v>-2.8077753779697564E-2</v>
      </c>
      <c r="M57" s="201"/>
    </row>
    <row r="58" spans="1:13" s="209" customFormat="1" ht="22.5" x14ac:dyDescent="0.2">
      <c r="A58" s="224" t="s">
        <v>240</v>
      </c>
      <c r="B58" s="257" t="s">
        <v>513</v>
      </c>
      <c r="C58" s="59">
        <v>35</v>
      </c>
      <c r="D58" s="59">
        <v>35.5</v>
      </c>
      <c r="E58" s="59">
        <v>35</v>
      </c>
      <c r="F58" s="59">
        <v>35.5</v>
      </c>
      <c r="G58" s="7">
        <v>35</v>
      </c>
      <c r="H58" s="84">
        <f t="shared" si="20"/>
        <v>-0.5</v>
      </c>
      <c r="I58" s="208">
        <f t="shared" si="21"/>
        <v>-1.4084507042253521E-2</v>
      </c>
      <c r="J58" s="259"/>
      <c r="K58" s="84">
        <f t="shared" si="22"/>
        <v>0</v>
      </c>
      <c r="L58" s="169">
        <f t="shared" si="23"/>
        <v>0</v>
      </c>
      <c r="M58" s="259"/>
    </row>
    <row r="59" spans="1:13" s="209" customFormat="1" ht="22.5" x14ac:dyDescent="0.2">
      <c r="A59" s="224" t="s">
        <v>239</v>
      </c>
      <c r="B59" s="257" t="s">
        <v>514</v>
      </c>
      <c r="C59" s="59">
        <v>184</v>
      </c>
      <c r="D59" s="59">
        <v>182.66666666666666</v>
      </c>
      <c r="E59" s="59">
        <v>184</v>
      </c>
      <c r="F59" s="59">
        <v>182.66666666666666</v>
      </c>
      <c r="G59" s="7">
        <v>191</v>
      </c>
      <c r="H59" s="84">
        <f t="shared" si="20"/>
        <v>8.3333333333333428</v>
      </c>
      <c r="I59" s="208">
        <f t="shared" si="21"/>
        <v>4.5620437956204435E-2</v>
      </c>
      <c r="J59" s="194"/>
      <c r="K59" s="84">
        <f t="shared" si="22"/>
        <v>7</v>
      </c>
      <c r="L59" s="169">
        <f t="shared" si="23"/>
        <v>3.8043478260869568E-2</v>
      </c>
      <c r="M59" s="72"/>
    </row>
    <row r="60" spans="1:13" s="209" customFormat="1" ht="37.5" x14ac:dyDescent="0.2">
      <c r="A60" s="252" t="s">
        <v>238</v>
      </c>
      <c r="B60" s="258" t="s">
        <v>237</v>
      </c>
      <c r="C60" s="107">
        <v>1342</v>
      </c>
      <c r="D60" s="107">
        <v>1660</v>
      </c>
      <c r="E60" s="107">
        <v>1342</v>
      </c>
      <c r="F60" s="107">
        <v>1660</v>
      </c>
      <c r="G60" s="107">
        <v>1715.43</v>
      </c>
      <c r="H60" s="108">
        <f>G60-F60</f>
        <v>55.430000000000064</v>
      </c>
      <c r="I60" s="254">
        <f t="shared" si="21"/>
        <v>3.3391566265060277E-2</v>
      </c>
      <c r="J60" s="193"/>
      <c r="K60" s="61">
        <f t="shared" si="22"/>
        <v>373.43000000000006</v>
      </c>
      <c r="L60" s="255">
        <f>IFERROR(K60/ABS(E60), "-")</f>
        <v>0.27826378539493296</v>
      </c>
      <c r="M60" s="75"/>
    </row>
    <row r="61" spans="1:13" s="209" customFormat="1" ht="262.5" x14ac:dyDescent="0.2">
      <c r="A61" s="224" t="s">
        <v>236</v>
      </c>
      <c r="B61" s="256" t="s">
        <v>510</v>
      </c>
      <c r="C61" s="7">
        <v>2226.69</v>
      </c>
      <c r="D61" s="7">
        <v>2739</v>
      </c>
      <c r="E61" s="7">
        <v>2226.69</v>
      </c>
      <c r="F61" s="7">
        <v>2739</v>
      </c>
      <c r="G61" s="2">
        <v>2732.31</v>
      </c>
      <c r="H61" s="84">
        <f t="shared" si="20"/>
        <v>-6.6900000000000546</v>
      </c>
      <c r="I61" s="208">
        <f t="shared" si="21"/>
        <v>-2.44249726177439E-3</v>
      </c>
      <c r="J61" s="194"/>
      <c r="K61" s="84">
        <f t="shared" si="22"/>
        <v>505.61999999999989</v>
      </c>
      <c r="L61" s="169">
        <f t="shared" si="23"/>
        <v>0.22707247079746165</v>
      </c>
      <c r="M61" s="196" t="s">
        <v>825</v>
      </c>
    </row>
    <row r="62" spans="1:13" s="209" customFormat="1" ht="262.5" x14ac:dyDescent="0.2">
      <c r="A62" s="224" t="s">
        <v>235</v>
      </c>
      <c r="B62" s="256" t="s">
        <v>511</v>
      </c>
      <c r="C62" s="7">
        <v>1332.1289999999999</v>
      </c>
      <c r="D62" s="7">
        <v>1638</v>
      </c>
      <c r="E62" s="7">
        <v>1332.1289999999999</v>
      </c>
      <c r="F62" s="7">
        <v>1638</v>
      </c>
      <c r="G62" s="2">
        <v>1683.69</v>
      </c>
      <c r="H62" s="84">
        <f t="shared" si="20"/>
        <v>45.690000000000055</v>
      </c>
      <c r="I62" s="208">
        <f t="shared" si="21"/>
        <v>2.7893772893772928E-2</v>
      </c>
      <c r="J62" s="259"/>
      <c r="K62" s="84">
        <f t="shared" si="22"/>
        <v>351.56100000000015</v>
      </c>
      <c r="L62" s="169">
        <f t="shared" si="23"/>
        <v>0.26390912591798554</v>
      </c>
      <c r="M62" s="196" t="s">
        <v>825</v>
      </c>
    </row>
    <row r="63" spans="1:13" s="209" customFormat="1" ht="262.5" x14ac:dyDescent="0.2">
      <c r="A63" s="224" t="s">
        <v>234</v>
      </c>
      <c r="B63" s="257" t="s">
        <v>512</v>
      </c>
      <c r="C63" s="59">
        <v>783.21</v>
      </c>
      <c r="D63" s="59">
        <v>963</v>
      </c>
      <c r="E63" s="59">
        <v>783.21</v>
      </c>
      <c r="F63" s="59">
        <v>963</v>
      </c>
      <c r="G63" s="2">
        <v>1020.0549999999999</v>
      </c>
      <c r="H63" s="84">
        <f t="shared" si="20"/>
        <v>57.05499999999995</v>
      </c>
      <c r="I63" s="208">
        <f>IFERROR(H63/ABS(F63), "-")</f>
        <v>5.9247144340602236E-2</v>
      </c>
      <c r="J63" s="259"/>
      <c r="K63" s="84">
        <f t="shared" si="22"/>
        <v>236.84499999999991</v>
      </c>
      <c r="L63" s="169">
        <f>IFERROR(K63/ABS(E63), "-")</f>
        <v>0.302402931525389</v>
      </c>
      <c r="M63" s="196" t="s">
        <v>825</v>
      </c>
    </row>
    <row r="64" spans="1:13" s="209" customFormat="1" ht="262.5" x14ac:dyDescent="0.2">
      <c r="A64" s="224" t="s">
        <v>233</v>
      </c>
      <c r="B64" s="257" t="s">
        <v>513</v>
      </c>
      <c r="C64" s="59">
        <v>2027.423</v>
      </c>
      <c r="D64" s="59">
        <v>2311</v>
      </c>
      <c r="E64" s="59">
        <v>2027.423</v>
      </c>
      <c r="F64" s="59">
        <v>2311</v>
      </c>
      <c r="G64" s="2">
        <v>2223.71</v>
      </c>
      <c r="H64" s="84">
        <f>G64-F64</f>
        <v>-87.289999999999964</v>
      </c>
      <c r="I64" s="208">
        <f t="shared" si="21"/>
        <v>-3.7771527477282546E-2</v>
      </c>
      <c r="J64" s="201"/>
      <c r="K64" s="84">
        <f t="shared" si="22"/>
        <v>196.28700000000003</v>
      </c>
      <c r="L64" s="169">
        <f t="shared" si="23"/>
        <v>9.6816007315690927E-2</v>
      </c>
      <c r="M64" s="196" t="s">
        <v>826</v>
      </c>
    </row>
    <row r="65" spans="1:13" s="209" customFormat="1" ht="243.75" x14ac:dyDescent="0.2">
      <c r="A65" s="224" t="s">
        <v>232</v>
      </c>
      <c r="B65" s="257" t="s">
        <v>514</v>
      </c>
      <c r="C65" s="59">
        <v>842.41</v>
      </c>
      <c r="D65" s="59">
        <v>1020</v>
      </c>
      <c r="E65" s="59">
        <v>842.41</v>
      </c>
      <c r="F65" s="59">
        <v>1020</v>
      </c>
      <c r="G65" s="2">
        <v>1047.94</v>
      </c>
      <c r="H65" s="84">
        <f t="shared" si="20"/>
        <v>27.940000000000055</v>
      </c>
      <c r="I65" s="208">
        <f t="shared" si="21"/>
        <v>2.739215686274515E-2</v>
      </c>
      <c r="J65" s="342"/>
      <c r="K65" s="84">
        <f t="shared" si="22"/>
        <v>205.53000000000009</v>
      </c>
      <c r="L65" s="169">
        <f t="shared" si="23"/>
        <v>0.24397858524946298</v>
      </c>
      <c r="M65" s="196" t="s">
        <v>827</v>
      </c>
    </row>
    <row r="66" spans="1:13" s="209" customFormat="1" ht="19.5" x14ac:dyDescent="0.2">
      <c r="A66" s="252" t="s">
        <v>231</v>
      </c>
      <c r="B66" s="253" t="s">
        <v>230</v>
      </c>
      <c r="C66" s="107">
        <v>569</v>
      </c>
      <c r="D66" s="107">
        <v>569</v>
      </c>
      <c r="E66" s="107">
        <v>569</v>
      </c>
      <c r="F66" s="107">
        <v>569</v>
      </c>
      <c r="G66" s="107">
        <v>577</v>
      </c>
      <c r="H66" s="108">
        <f t="shared" si="20"/>
        <v>8</v>
      </c>
      <c r="I66" s="254">
        <f t="shared" si="21"/>
        <v>1.4059753954305799E-2</v>
      </c>
      <c r="J66" s="193"/>
      <c r="K66" s="61">
        <f t="shared" si="22"/>
        <v>8</v>
      </c>
      <c r="L66" s="255">
        <f t="shared" si="23"/>
        <v>1.4059753954305799E-2</v>
      </c>
      <c r="M66" s="75"/>
    </row>
    <row r="67" spans="1:13" s="209" customFormat="1" ht="22.5" x14ac:dyDescent="0.2">
      <c r="A67" s="224" t="s">
        <v>229</v>
      </c>
      <c r="B67" s="256" t="s">
        <v>510</v>
      </c>
      <c r="C67" s="7">
        <v>116</v>
      </c>
      <c r="D67" s="7">
        <v>116</v>
      </c>
      <c r="E67" s="7">
        <v>116</v>
      </c>
      <c r="F67" s="7">
        <v>116</v>
      </c>
      <c r="G67" s="2">
        <v>115</v>
      </c>
      <c r="H67" s="86">
        <f t="shared" si="20"/>
        <v>-1</v>
      </c>
      <c r="I67" s="208">
        <f t="shared" si="21"/>
        <v>-8.6206896551724137E-3</v>
      </c>
      <c r="J67" s="194"/>
      <c r="K67" s="86">
        <f t="shared" si="22"/>
        <v>-1</v>
      </c>
      <c r="L67" s="169">
        <f t="shared" si="23"/>
        <v>-8.6206896551724137E-3</v>
      </c>
      <c r="M67" s="73"/>
    </row>
    <row r="68" spans="1:13" s="209" customFormat="1" ht="22.5" x14ac:dyDescent="0.2">
      <c r="A68" s="224" t="s">
        <v>228</v>
      </c>
      <c r="B68" s="256" t="s">
        <v>511</v>
      </c>
      <c r="C68" s="7">
        <v>188</v>
      </c>
      <c r="D68" s="7">
        <v>186</v>
      </c>
      <c r="E68" s="7">
        <v>188</v>
      </c>
      <c r="F68" s="7">
        <v>186</v>
      </c>
      <c r="G68" s="7">
        <v>187</v>
      </c>
      <c r="H68" s="84">
        <f t="shared" si="20"/>
        <v>1</v>
      </c>
      <c r="I68" s="208">
        <f t="shared" si="21"/>
        <v>5.3763440860215058E-3</v>
      </c>
      <c r="J68" s="194"/>
      <c r="K68" s="84">
        <f t="shared" si="22"/>
        <v>-1</v>
      </c>
      <c r="L68" s="169">
        <f t="shared" si="23"/>
        <v>-5.3191489361702126E-3</v>
      </c>
      <c r="M68" s="342"/>
    </row>
    <row r="69" spans="1:13" s="209" customFormat="1" ht="41.25" x14ac:dyDescent="0.2">
      <c r="A69" s="224" t="s">
        <v>227</v>
      </c>
      <c r="B69" s="257" t="s">
        <v>512</v>
      </c>
      <c r="C69" s="59">
        <v>42</v>
      </c>
      <c r="D69" s="59">
        <v>43</v>
      </c>
      <c r="E69" s="59">
        <v>42</v>
      </c>
      <c r="F69" s="59">
        <v>43</v>
      </c>
      <c r="G69" s="7">
        <v>45</v>
      </c>
      <c r="H69" s="84">
        <f t="shared" si="20"/>
        <v>2</v>
      </c>
      <c r="I69" s="208">
        <f t="shared" si="21"/>
        <v>4.6511627906976744E-2</v>
      </c>
      <c r="J69" s="259"/>
      <c r="K69" s="84">
        <f t="shared" si="22"/>
        <v>3</v>
      </c>
      <c r="L69" s="169">
        <f t="shared" si="23"/>
        <v>7.1428571428571425E-2</v>
      </c>
      <c r="M69" s="259"/>
    </row>
    <row r="70" spans="1:13" s="209" customFormat="1" ht="22.5" x14ac:dyDescent="0.2">
      <c r="A70" s="224" t="s">
        <v>226</v>
      </c>
      <c r="B70" s="257" t="s">
        <v>513</v>
      </c>
      <c r="C70" s="59">
        <v>35</v>
      </c>
      <c r="D70" s="59">
        <v>36</v>
      </c>
      <c r="E70" s="59">
        <v>35</v>
      </c>
      <c r="F70" s="59">
        <v>36</v>
      </c>
      <c r="G70" s="7">
        <v>36</v>
      </c>
      <c r="H70" s="84">
        <f t="shared" si="20"/>
        <v>0</v>
      </c>
      <c r="I70" s="208">
        <f t="shared" si="21"/>
        <v>0</v>
      </c>
      <c r="J70" s="259"/>
      <c r="K70" s="84">
        <f t="shared" si="22"/>
        <v>1</v>
      </c>
      <c r="L70" s="169">
        <f t="shared" si="23"/>
        <v>2.8571428571428571E-2</v>
      </c>
      <c r="M70" s="259"/>
    </row>
    <row r="71" spans="1:13" s="209" customFormat="1" ht="22.5" x14ac:dyDescent="0.2">
      <c r="A71" s="224" t="s">
        <v>225</v>
      </c>
      <c r="B71" s="257" t="s">
        <v>514</v>
      </c>
      <c r="C71" s="59">
        <v>188</v>
      </c>
      <c r="D71" s="59">
        <v>188</v>
      </c>
      <c r="E71" s="59">
        <v>188</v>
      </c>
      <c r="F71" s="59">
        <v>188</v>
      </c>
      <c r="G71" s="7">
        <v>194</v>
      </c>
      <c r="H71" s="84">
        <f t="shared" si="20"/>
        <v>6</v>
      </c>
      <c r="I71" s="208">
        <f>IFERROR(H71/ABS(F71), "-")</f>
        <v>3.1914893617021274E-2</v>
      </c>
      <c r="J71" s="194"/>
      <c r="K71" s="84">
        <f t="shared" si="22"/>
        <v>6</v>
      </c>
      <c r="L71" s="169">
        <f t="shared" si="23"/>
        <v>3.1914893617021274E-2</v>
      </c>
      <c r="M71" s="72"/>
    </row>
    <row r="72" spans="1:13" s="209" customFormat="1" ht="19.5" x14ac:dyDescent="0.2">
      <c r="A72" s="252" t="s">
        <v>224</v>
      </c>
      <c r="B72" s="253" t="s">
        <v>515</v>
      </c>
      <c r="C72" s="107">
        <v>1328</v>
      </c>
      <c r="D72" s="107">
        <v>1634</v>
      </c>
      <c r="E72" s="107">
        <v>1328</v>
      </c>
      <c r="F72" s="107">
        <v>1634</v>
      </c>
      <c r="G72" s="107">
        <v>1715.43</v>
      </c>
      <c r="H72" s="108">
        <f t="shared" si="20"/>
        <v>81.430000000000064</v>
      </c>
      <c r="I72" s="254">
        <f t="shared" si="21"/>
        <v>4.9834761321909463E-2</v>
      </c>
      <c r="J72" s="193"/>
      <c r="K72" s="61">
        <f t="shared" si="22"/>
        <v>387.43000000000006</v>
      </c>
      <c r="L72" s="255">
        <f t="shared" si="23"/>
        <v>0.29173945783132532</v>
      </c>
      <c r="M72" s="75"/>
    </row>
    <row r="73" spans="1:13" s="209" customFormat="1" ht="262.5" x14ac:dyDescent="0.2">
      <c r="A73" s="224" t="s">
        <v>223</v>
      </c>
      <c r="B73" s="256" t="s">
        <v>510</v>
      </c>
      <c r="C73" s="7">
        <v>2073.125</v>
      </c>
      <c r="D73" s="7">
        <v>2550</v>
      </c>
      <c r="E73" s="7">
        <v>2073.125</v>
      </c>
      <c r="F73" s="7">
        <v>2550</v>
      </c>
      <c r="G73" s="2">
        <v>2637.27</v>
      </c>
      <c r="H73" s="86">
        <f t="shared" si="20"/>
        <v>87.269999999999982</v>
      </c>
      <c r="I73" s="208">
        <f t="shared" si="21"/>
        <v>3.4223529411764701E-2</v>
      </c>
      <c r="J73" s="201"/>
      <c r="K73" s="86">
        <f t="shared" si="22"/>
        <v>564.14499999999998</v>
      </c>
      <c r="L73" s="169">
        <f t="shared" si="23"/>
        <v>0.27212300271329515</v>
      </c>
      <c r="M73" s="196" t="s">
        <v>825</v>
      </c>
    </row>
    <row r="74" spans="1:13" s="209" customFormat="1" ht="262.5" x14ac:dyDescent="0.2">
      <c r="A74" s="224" t="s">
        <v>222</v>
      </c>
      <c r="B74" s="256" t="s">
        <v>511</v>
      </c>
      <c r="C74" s="7">
        <v>1346.3009999999999</v>
      </c>
      <c r="D74" s="7">
        <v>1656</v>
      </c>
      <c r="E74" s="7">
        <v>1346.3009999999999</v>
      </c>
      <c r="F74" s="7">
        <v>1656</v>
      </c>
      <c r="G74" s="7">
        <v>1755.71</v>
      </c>
      <c r="H74" s="84">
        <f t="shared" si="20"/>
        <v>99.710000000000036</v>
      </c>
      <c r="I74" s="208">
        <f t="shared" si="21"/>
        <v>6.0211352657004856E-2</v>
      </c>
      <c r="J74" s="246"/>
      <c r="K74" s="84">
        <f t="shared" si="22"/>
        <v>409.40900000000011</v>
      </c>
      <c r="L74" s="169">
        <f t="shared" si="23"/>
        <v>0.30409915761779877</v>
      </c>
      <c r="M74" s="196" t="s">
        <v>825</v>
      </c>
    </row>
    <row r="75" spans="1:13" s="209" customFormat="1" ht="262.5" x14ac:dyDescent="0.2">
      <c r="A75" s="224" t="s">
        <v>221</v>
      </c>
      <c r="B75" s="257" t="s">
        <v>512</v>
      </c>
      <c r="C75" s="59">
        <v>863.39</v>
      </c>
      <c r="D75" s="59">
        <v>1062</v>
      </c>
      <c r="E75" s="59">
        <v>863.39</v>
      </c>
      <c r="F75" s="59">
        <v>1062</v>
      </c>
      <c r="G75" s="7">
        <v>1020.0549999999999</v>
      </c>
      <c r="H75" s="84">
        <f t="shared" si="20"/>
        <v>-41.94500000000005</v>
      </c>
      <c r="I75" s="208">
        <f t="shared" si="21"/>
        <v>-3.9496233521657299E-2</v>
      </c>
      <c r="J75" s="259"/>
      <c r="K75" s="84">
        <f t="shared" si="22"/>
        <v>156.66499999999996</v>
      </c>
      <c r="L75" s="169">
        <f t="shared" si="23"/>
        <v>0.18145334090040419</v>
      </c>
      <c r="M75" s="196" t="s">
        <v>825</v>
      </c>
    </row>
    <row r="76" spans="1:13" s="209" customFormat="1" ht="22.5" x14ac:dyDescent="0.2">
      <c r="A76" s="224" t="s">
        <v>220</v>
      </c>
      <c r="B76" s="257" t="s">
        <v>513</v>
      </c>
      <c r="C76" s="59">
        <v>2027</v>
      </c>
      <c r="D76" s="59">
        <v>2311</v>
      </c>
      <c r="E76" s="59">
        <v>2027</v>
      </c>
      <c r="F76" s="59">
        <v>2311</v>
      </c>
      <c r="G76" s="7">
        <v>2161.9430000000002</v>
      </c>
      <c r="H76" s="84">
        <f t="shared" si="20"/>
        <v>-149.05699999999979</v>
      </c>
      <c r="I76" s="208">
        <f t="shared" si="21"/>
        <v>-6.4498918217221896E-2</v>
      </c>
      <c r="J76" s="342"/>
      <c r="K76" s="84">
        <f t="shared" si="22"/>
        <v>134.94300000000021</v>
      </c>
      <c r="L76" s="169">
        <f t="shared" si="23"/>
        <v>6.6572767636901925E-2</v>
      </c>
      <c r="M76" s="599"/>
    </row>
    <row r="77" spans="1:13" s="209" customFormat="1" ht="262.5" x14ac:dyDescent="0.2">
      <c r="A77" s="224" t="s">
        <v>219</v>
      </c>
      <c r="B77" s="257" t="s">
        <v>514</v>
      </c>
      <c r="C77" s="59">
        <v>824.48</v>
      </c>
      <c r="D77" s="59">
        <v>998</v>
      </c>
      <c r="E77" s="59">
        <v>824.48</v>
      </c>
      <c r="F77" s="59">
        <v>998</v>
      </c>
      <c r="G77" s="7">
        <v>1031.7360000000001</v>
      </c>
      <c r="H77" s="84">
        <f t="shared" si="20"/>
        <v>33.736000000000104</v>
      </c>
      <c r="I77" s="208">
        <f t="shared" si="21"/>
        <v>3.380360721442896E-2</v>
      </c>
      <c r="J77" s="259"/>
      <c r="K77" s="84">
        <f t="shared" si="22"/>
        <v>207.25600000000009</v>
      </c>
      <c r="L77" s="169">
        <f t="shared" si="23"/>
        <v>0.25137783815253262</v>
      </c>
      <c r="M77" s="196" t="s">
        <v>825</v>
      </c>
    </row>
    <row r="78" spans="1:13" s="209" customFormat="1" ht="19.5" x14ac:dyDescent="0.2">
      <c r="A78" s="260" t="s">
        <v>493</v>
      </c>
      <c r="B78" s="261" t="s">
        <v>494</v>
      </c>
      <c r="C78" s="190" t="s">
        <v>216</v>
      </c>
      <c r="D78" s="190" t="s">
        <v>216</v>
      </c>
      <c r="E78" s="190" t="s">
        <v>216</v>
      </c>
      <c r="F78" s="190" t="s">
        <v>216</v>
      </c>
      <c r="G78" s="191" t="s">
        <v>216</v>
      </c>
      <c r="H78" s="191" t="s">
        <v>216</v>
      </c>
      <c r="I78" s="245" t="s">
        <v>216</v>
      </c>
      <c r="J78" s="245" t="s">
        <v>216</v>
      </c>
      <c r="K78" s="245" t="s">
        <v>216</v>
      </c>
      <c r="L78" s="245" t="s">
        <v>216</v>
      </c>
      <c r="M78" s="245" t="s">
        <v>216</v>
      </c>
    </row>
    <row r="79" spans="1:13" s="209" customFormat="1" x14ac:dyDescent="0.2">
      <c r="A79" s="224" t="s">
        <v>495</v>
      </c>
      <c r="B79" s="257" t="s">
        <v>496</v>
      </c>
      <c r="C79" s="76">
        <v>16</v>
      </c>
      <c r="D79" s="76">
        <v>16</v>
      </c>
      <c r="E79" s="76">
        <v>16</v>
      </c>
      <c r="F79" s="76">
        <v>16</v>
      </c>
      <c r="G79" s="7">
        <v>15</v>
      </c>
      <c r="H79" s="84">
        <f t="shared" ref="H79:H82" si="24">G79-F79</f>
        <v>-1</v>
      </c>
      <c r="I79" s="244">
        <f t="shared" ref="I79:I82" si="25">IFERROR(H79/ABS(F79), "-")</f>
        <v>-6.25E-2</v>
      </c>
      <c r="J79" s="481"/>
      <c r="K79" s="84">
        <f t="shared" ref="K79:K82" si="26">G79-E79</f>
        <v>-1</v>
      </c>
      <c r="L79" s="169">
        <f t="shared" ref="L79:L82" si="27">IFERROR(K79/ABS(E79), "-")</f>
        <v>-6.25E-2</v>
      </c>
      <c r="M79" s="259"/>
    </row>
    <row r="80" spans="1:13" s="209" customFormat="1" ht="168.75" x14ac:dyDescent="0.2">
      <c r="A80" s="224" t="s">
        <v>497</v>
      </c>
      <c r="B80" s="257" t="s">
        <v>498</v>
      </c>
      <c r="C80" s="76">
        <v>48.69</v>
      </c>
      <c r="D80" s="76">
        <v>47</v>
      </c>
      <c r="E80" s="76">
        <v>48.69</v>
      </c>
      <c r="F80" s="76">
        <v>47</v>
      </c>
      <c r="G80" s="119">
        <v>53.06</v>
      </c>
      <c r="H80" s="84">
        <f t="shared" si="24"/>
        <v>6.0600000000000023</v>
      </c>
      <c r="I80" s="244">
        <f t="shared" si="25"/>
        <v>0.12893617021276602</v>
      </c>
      <c r="J80" s="195" t="s">
        <v>828</v>
      </c>
      <c r="K80" s="84">
        <f t="shared" si="26"/>
        <v>4.3700000000000045</v>
      </c>
      <c r="L80" s="169">
        <f t="shared" si="27"/>
        <v>8.9751489012117575E-2</v>
      </c>
      <c r="M80" s="246"/>
    </row>
    <row r="81" spans="1:13" s="209" customFormat="1" ht="56.25" x14ac:dyDescent="0.2">
      <c r="A81" s="224" t="s">
        <v>499</v>
      </c>
      <c r="B81" s="257" t="s">
        <v>574</v>
      </c>
      <c r="C81" s="76">
        <v>23</v>
      </c>
      <c r="D81" s="76">
        <v>23</v>
      </c>
      <c r="E81" s="76">
        <v>23</v>
      </c>
      <c r="F81" s="76">
        <v>23</v>
      </c>
      <c r="G81" s="7">
        <v>23</v>
      </c>
      <c r="H81" s="84">
        <f t="shared" si="24"/>
        <v>0</v>
      </c>
      <c r="I81" s="244">
        <f t="shared" si="25"/>
        <v>0</v>
      </c>
      <c r="J81" s="80"/>
      <c r="K81" s="84">
        <f t="shared" si="26"/>
        <v>0</v>
      </c>
      <c r="L81" s="169">
        <f t="shared" si="27"/>
        <v>0</v>
      </c>
      <c r="M81" s="72"/>
    </row>
    <row r="82" spans="1:13" s="209" customFormat="1" ht="56.25" x14ac:dyDescent="0.2">
      <c r="A82" s="224" t="s">
        <v>500</v>
      </c>
      <c r="B82" s="257" t="s">
        <v>501</v>
      </c>
      <c r="C82" s="76">
        <v>39</v>
      </c>
      <c r="D82" s="76">
        <v>39</v>
      </c>
      <c r="E82" s="76">
        <v>39</v>
      </c>
      <c r="F82" s="76">
        <v>39</v>
      </c>
      <c r="G82" s="7">
        <v>41</v>
      </c>
      <c r="H82" s="84">
        <f t="shared" si="24"/>
        <v>2</v>
      </c>
      <c r="I82" s="244">
        <f t="shared" si="25"/>
        <v>5.128205128205128E-2</v>
      </c>
      <c r="J82" s="80"/>
      <c r="K82" s="84">
        <f t="shared" si="26"/>
        <v>2</v>
      </c>
      <c r="L82" s="169">
        <f t="shared" si="27"/>
        <v>5.128205128205128E-2</v>
      </c>
      <c r="M82" s="72"/>
    </row>
    <row r="83" spans="1:13" ht="19.5" x14ac:dyDescent="0.2">
      <c r="A83" s="39" t="s">
        <v>218</v>
      </c>
      <c r="B83" s="40" t="s">
        <v>502</v>
      </c>
      <c r="C83" s="43" t="s">
        <v>216</v>
      </c>
      <c r="D83" s="43" t="s">
        <v>216</v>
      </c>
      <c r="E83" s="43" t="s">
        <v>216</v>
      </c>
      <c r="F83" s="43" t="s">
        <v>216</v>
      </c>
      <c r="G83" s="26" t="s">
        <v>216</v>
      </c>
      <c r="H83" s="26" t="s">
        <v>216</v>
      </c>
      <c r="I83" s="27" t="s">
        <v>216</v>
      </c>
      <c r="J83" s="192" t="s">
        <v>216</v>
      </c>
      <c r="K83" s="27" t="s">
        <v>216</v>
      </c>
      <c r="L83" s="27" t="s">
        <v>216</v>
      </c>
      <c r="M83" s="27" t="s">
        <v>216</v>
      </c>
    </row>
    <row r="84" spans="1:13" s="16" customFormat="1" ht="22.5" x14ac:dyDescent="0.2">
      <c r="A84" s="35" t="s">
        <v>217</v>
      </c>
      <c r="B84" s="18" t="s">
        <v>516</v>
      </c>
      <c r="C84" s="60">
        <v>26842</v>
      </c>
      <c r="D84" s="60">
        <v>26842.3</v>
      </c>
      <c r="E84" s="60">
        <v>26842</v>
      </c>
      <c r="F84" s="60">
        <v>26842.3</v>
      </c>
      <c r="G84" s="119">
        <v>26842</v>
      </c>
      <c r="H84" s="82">
        <f t="shared" ref="H84:H89" si="28">G84-F84</f>
        <v>-0.2999999999992724</v>
      </c>
      <c r="I84" s="78">
        <f t="shared" ref="I84:I89" si="29">IFERROR(H84/ABS(F84), "-")</f>
        <v>-1.1176389504598057E-5</v>
      </c>
      <c r="J84" s="81"/>
      <c r="K84" s="82">
        <f t="shared" ref="K84:K85" si="30">G84-E84</f>
        <v>0</v>
      </c>
      <c r="L84" s="83">
        <f t="shared" ref="L84:L87" si="31">IFERROR(K84/ABS(E84), "-")</f>
        <v>0</v>
      </c>
      <c r="M84" s="74"/>
    </row>
    <row r="85" spans="1:13" s="16" customFormat="1" ht="37.5" x14ac:dyDescent="0.2">
      <c r="A85" s="35" t="s">
        <v>580</v>
      </c>
      <c r="B85" s="44" t="s">
        <v>359</v>
      </c>
      <c r="C85" s="60">
        <v>7361</v>
      </c>
      <c r="D85" s="60">
        <v>7361</v>
      </c>
      <c r="E85" s="60">
        <v>7361</v>
      </c>
      <c r="F85" s="60">
        <v>7361</v>
      </c>
      <c r="G85" s="119">
        <v>7361</v>
      </c>
      <c r="H85" s="82">
        <f t="shared" si="28"/>
        <v>0</v>
      </c>
      <c r="I85" s="78">
        <f t="shared" si="29"/>
        <v>0</v>
      </c>
      <c r="J85" s="81"/>
      <c r="K85" s="82">
        <f t="shared" si="30"/>
        <v>0</v>
      </c>
      <c r="L85" s="83">
        <f t="shared" si="31"/>
        <v>0</v>
      </c>
      <c r="M85" s="74"/>
    </row>
    <row r="86" spans="1:13" s="16" customFormat="1" x14ac:dyDescent="0.3">
      <c r="A86" s="35" t="s">
        <v>579</v>
      </c>
      <c r="B86" s="17" t="s">
        <v>213</v>
      </c>
      <c r="C86" s="60">
        <v>3890930</v>
      </c>
      <c r="D86" s="60">
        <v>4280023</v>
      </c>
      <c r="E86" s="60">
        <v>3890930</v>
      </c>
      <c r="F86" s="60">
        <v>4280023</v>
      </c>
      <c r="G86" s="71">
        <v>4069230</v>
      </c>
      <c r="H86" s="82">
        <f>G86-F86</f>
        <v>-210793</v>
      </c>
      <c r="I86" s="78">
        <f t="shared" si="29"/>
        <v>-4.9250436271020041E-2</v>
      </c>
      <c r="J86" s="482"/>
      <c r="K86" s="82">
        <f>G86-E86</f>
        <v>178300</v>
      </c>
      <c r="L86" s="83">
        <f t="shared" si="31"/>
        <v>4.5824520101877958E-2</v>
      </c>
      <c r="M86" s="479"/>
    </row>
    <row r="87" spans="1:13" s="16" customFormat="1" x14ac:dyDescent="0.2">
      <c r="A87" s="35" t="s">
        <v>581</v>
      </c>
      <c r="B87" s="17" t="s">
        <v>212</v>
      </c>
      <c r="C87" s="60">
        <v>1732600</v>
      </c>
      <c r="D87" s="60">
        <v>1905860.0000000002</v>
      </c>
      <c r="E87" s="60">
        <v>1732600</v>
      </c>
      <c r="F87" s="60">
        <v>1905860.0000000002</v>
      </c>
      <c r="G87" s="71">
        <v>1881667</v>
      </c>
      <c r="H87" s="82">
        <f>G87-F87</f>
        <v>-24193.000000000233</v>
      </c>
      <c r="I87" s="78">
        <f t="shared" si="29"/>
        <v>-1.2694006905019376E-2</v>
      </c>
      <c r="J87" s="483"/>
      <c r="K87" s="82">
        <f>G87-E87</f>
        <v>149067</v>
      </c>
      <c r="L87" s="83">
        <f t="shared" si="31"/>
        <v>8.6036592404478821E-2</v>
      </c>
      <c r="M87" s="480"/>
    </row>
    <row r="88" spans="1:13" s="16" customFormat="1" ht="150" x14ac:dyDescent="0.2">
      <c r="A88" s="35" t="s">
        <v>215</v>
      </c>
      <c r="B88" s="17" t="s">
        <v>517</v>
      </c>
      <c r="C88" s="60">
        <v>18550</v>
      </c>
      <c r="D88" s="60">
        <v>18550</v>
      </c>
      <c r="E88" s="60">
        <v>18550</v>
      </c>
      <c r="F88" s="60">
        <v>18550</v>
      </c>
      <c r="G88" s="71">
        <v>16656</v>
      </c>
      <c r="H88" s="82">
        <f>G88-F88</f>
        <v>-1894</v>
      </c>
      <c r="I88" s="78">
        <f>IFERROR(H88/ABS(F88), "-")</f>
        <v>-0.10210242587601079</v>
      </c>
      <c r="J88" s="598" t="s">
        <v>822</v>
      </c>
      <c r="K88" s="82">
        <f>G88-E88</f>
        <v>-1894</v>
      </c>
      <c r="L88" s="83">
        <f>IFERROR(K88/ABS(E88), "-")</f>
        <v>-0.10210242587601079</v>
      </c>
      <c r="M88" s="598" t="s">
        <v>822</v>
      </c>
    </row>
    <row r="89" spans="1:13" s="16" customFormat="1" ht="150" x14ac:dyDescent="0.2">
      <c r="A89" s="35" t="s">
        <v>214</v>
      </c>
      <c r="B89" s="17" t="s">
        <v>518</v>
      </c>
      <c r="C89" s="60">
        <v>19854.039999999994</v>
      </c>
      <c r="D89" s="60">
        <v>19854.04</v>
      </c>
      <c r="E89" s="60">
        <v>19854.039999999994</v>
      </c>
      <c r="F89" s="60">
        <v>19854.04</v>
      </c>
      <c r="G89" s="71">
        <v>17960.039999999997</v>
      </c>
      <c r="H89" s="82">
        <f t="shared" si="28"/>
        <v>-1894.0000000000036</v>
      </c>
      <c r="I89" s="78">
        <f t="shared" si="29"/>
        <v>-9.5396201478389467E-2</v>
      </c>
      <c r="J89" s="598" t="s">
        <v>822</v>
      </c>
      <c r="K89" s="82">
        <f>G89-E89</f>
        <v>-1893.9999999999964</v>
      </c>
      <c r="L89" s="83">
        <f>IFERROR(K89/ABS(E89), "-")</f>
        <v>-9.5396201478389134E-2</v>
      </c>
      <c r="M89" s="598" t="s">
        <v>822</v>
      </c>
    </row>
    <row r="90" spans="1:13" s="16" customFormat="1" ht="37.5" x14ac:dyDescent="0.2">
      <c r="A90" s="41" t="s">
        <v>503</v>
      </c>
      <c r="B90" s="45" t="s">
        <v>504</v>
      </c>
      <c r="C90" s="46" t="s">
        <v>216</v>
      </c>
      <c r="D90" s="46" t="s">
        <v>216</v>
      </c>
      <c r="E90" s="46" t="s">
        <v>216</v>
      </c>
      <c r="F90" s="46" t="s">
        <v>216</v>
      </c>
      <c r="G90" s="47" t="s">
        <v>216</v>
      </c>
      <c r="H90" s="42" t="s">
        <v>216</v>
      </c>
      <c r="I90" s="48" t="s">
        <v>216</v>
      </c>
      <c r="J90" s="484" t="s">
        <v>216</v>
      </c>
      <c r="K90" s="48" t="s">
        <v>216</v>
      </c>
      <c r="L90" s="48" t="s">
        <v>216</v>
      </c>
      <c r="M90" s="48" t="s">
        <v>216</v>
      </c>
    </row>
    <row r="91" spans="1:13" s="16" customFormat="1" ht="41.25" x14ac:dyDescent="0.2">
      <c r="A91" s="35" t="s">
        <v>505</v>
      </c>
      <c r="B91" s="17" t="s">
        <v>519</v>
      </c>
      <c r="C91" s="60"/>
      <c r="D91" s="60"/>
      <c r="E91" s="60"/>
      <c r="F91" s="60"/>
      <c r="G91" s="3"/>
      <c r="H91" s="82">
        <f>G91-F91</f>
        <v>0</v>
      </c>
      <c r="I91" s="78" t="str">
        <f>IFERROR(H91/ABS(F91), "-")</f>
        <v>-</v>
      </c>
      <c r="J91" s="81"/>
      <c r="K91" s="82">
        <f>G91-E91</f>
        <v>0</v>
      </c>
      <c r="L91" s="83" t="str">
        <f>IFERROR(K91/ABS(E91), "-")</f>
        <v>-</v>
      </c>
      <c r="M91" s="74"/>
    </row>
    <row r="92" spans="1:13" s="16" customFormat="1" x14ac:dyDescent="0.2">
      <c r="A92" s="49"/>
      <c r="B92" s="50"/>
      <c r="C92" s="51"/>
      <c r="D92" s="51"/>
      <c r="E92" s="51"/>
      <c r="F92" s="51"/>
      <c r="G92" s="52"/>
      <c r="H92" s="53"/>
      <c r="I92" s="54"/>
      <c r="J92" s="54"/>
      <c r="K92" s="55"/>
    </row>
    <row r="93" spans="1:13" s="16" customFormat="1" x14ac:dyDescent="0.2">
      <c r="A93" s="97" t="s">
        <v>582</v>
      </c>
      <c r="B93" s="50"/>
      <c r="C93" s="51"/>
      <c r="D93" s="51"/>
      <c r="E93" s="51"/>
      <c r="F93" s="51"/>
      <c r="G93" s="52"/>
      <c r="H93" s="53"/>
      <c r="I93" s="54"/>
      <c r="J93" s="54"/>
      <c r="K93" s="55"/>
    </row>
    <row r="94" spans="1:13" s="56" customFormat="1" x14ac:dyDescent="0.2">
      <c r="A94" s="812" t="s">
        <v>520</v>
      </c>
      <c r="B94" s="812"/>
      <c r="C94" s="812"/>
      <c r="D94" s="812"/>
      <c r="E94" s="812"/>
      <c r="F94" s="812"/>
      <c r="G94" s="812"/>
      <c r="H94" s="812"/>
      <c r="I94" s="812"/>
      <c r="J94" s="812"/>
      <c r="K94" s="812"/>
    </row>
    <row r="95" spans="1:13" s="56" customFormat="1" ht="18.75" customHeight="1" x14ac:dyDescent="0.2">
      <c r="A95" s="812" t="s">
        <v>521</v>
      </c>
      <c r="B95" s="812"/>
      <c r="C95" s="812"/>
      <c r="D95" s="812"/>
      <c r="E95" s="812"/>
      <c r="F95" s="812"/>
      <c r="G95" s="812"/>
      <c r="H95" s="812"/>
      <c r="I95" s="812"/>
      <c r="J95" s="812"/>
      <c r="K95" s="812"/>
    </row>
    <row r="96" spans="1:13" s="56" customFormat="1" ht="18" customHeight="1" x14ac:dyDescent="0.2">
      <c r="A96" s="812" t="s">
        <v>522</v>
      </c>
      <c r="B96" s="812"/>
      <c r="C96" s="812"/>
      <c r="D96" s="812"/>
      <c r="E96" s="812"/>
      <c r="F96" s="812"/>
      <c r="G96" s="812"/>
      <c r="H96" s="812"/>
      <c r="I96" s="812"/>
      <c r="J96" s="812"/>
      <c r="K96" s="812"/>
    </row>
    <row r="97" spans="1:11" s="56" customFormat="1" ht="21.75" customHeight="1" x14ac:dyDescent="0.2">
      <c r="A97" s="812" t="s">
        <v>523</v>
      </c>
      <c r="B97" s="812"/>
      <c r="C97" s="812"/>
      <c r="D97" s="812"/>
      <c r="E97" s="812"/>
      <c r="F97" s="812"/>
      <c r="G97" s="812"/>
      <c r="H97" s="812"/>
      <c r="I97" s="812"/>
      <c r="J97" s="812"/>
      <c r="K97" s="812"/>
    </row>
    <row r="98" spans="1:11" s="56" customFormat="1" ht="18" customHeight="1" x14ac:dyDescent="0.2">
      <c r="A98" s="812" t="s">
        <v>524</v>
      </c>
      <c r="B98" s="812"/>
      <c r="C98" s="812"/>
      <c r="D98" s="812"/>
      <c r="E98" s="812"/>
      <c r="F98" s="812"/>
      <c r="G98" s="812"/>
      <c r="H98" s="812"/>
      <c r="I98" s="812"/>
      <c r="J98" s="812"/>
      <c r="K98" s="812"/>
    </row>
    <row r="99" spans="1:11" s="56" customFormat="1" ht="17.25" customHeight="1" x14ac:dyDescent="0.2">
      <c r="A99" s="812" t="s">
        <v>525</v>
      </c>
      <c r="B99" s="812"/>
      <c r="C99" s="812"/>
      <c r="D99" s="812"/>
      <c r="E99" s="812"/>
      <c r="F99" s="812"/>
      <c r="G99" s="812"/>
      <c r="H99" s="812"/>
      <c r="I99" s="812"/>
      <c r="J99" s="812"/>
      <c r="K99" s="812"/>
    </row>
    <row r="100" spans="1:11" s="56" customFormat="1" x14ac:dyDescent="0.2">
      <c r="A100" s="812" t="s">
        <v>506</v>
      </c>
      <c r="B100" s="812"/>
      <c r="C100" s="812"/>
      <c r="D100" s="812"/>
      <c r="E100" s="812"/>
      <c r="F100" s="812"/>
      <c r="G100" s="812"/>
      <c r="H100" s="812"/>
      <c r="I100" s="812"/>
      <c r="J100" s="812"/>
      <c r="K100" s="812"/>
    </row>
    <row r="101" spans="1:11" s="56" customFormat="1" x14ac:dyDescent="0.2">
      <c r="A101" s="812" t="s">
        <v>526</v>
      </c>
      <c r="B101" s="812"/>
      <c r="C101" s="812"/>
      <c r="D101" s="812"/>
      <c r="E101" s="812"/>
      <c r="F101" s="812"/>
      <c r="G101" s="812"/>
      <c r="H101" s="812"/>
      <c r="I101" s="812"/>
      <c r="J101" s="812"/>
      <c r="K101" s="812"/>
    </row>
    <row r="102" spans="1:11" s="56" customFormat="1" ht="41.25" customHeight="1" x14ac:dyDescent="0.2">
      <c r="A102" s="812" t="s">
        <v>527</v>
      </c>
      <c r="B102" s="812"/>
      <c r="C102" s="812"/>
      <c r="D102" s="812"/>
      <c r="E102" s="812"/>
      <c r="F102" s="812"/>
      <c r="G102" s="812"/>
      <c r="H102" s="812"/>
      <c r="I102" s="812"/>
      <c r="J102" s="812"/>
      <c r="K102" s="812"/>
    </row>
    <row r="103" spans="1:11" s="56" customFormat="1" ht="40.5" customHeight="1" x14ac:dyDescent="0.2">
      <c r="A103" s="812" t="s">
        <v>575</v>
      </c>
      <c r="B103" s="812"/>
      <c r="C103" s="812"/>
      <c r="D103" s="812"/>
      <c r="E103" s="812"/>
      <c r="F103" s="812"/>
      <c r="G103" s="812"/>
      <c r="H103" s="812"/>
      <c r="I103" s="812"/>
      <c r="J103" s="812"/>
      <c r="K103" s="812"/>
    </row>
    <row r="104" spans="1:11" s="56" customFormat="1" x14ac:dyDescent="0.2">
      <c r="A104" s="812" t="s">
        <v>576</v>
      </c>
      <c r="B104" s="812"/>
      <c r="C104" s="812"/>
      <c r="D104" s="812"/>
      <c r="E104" s="812"/>
      <c r="F104" s="812"/>
      <c r="G104" s="812"/>
      <c r="H104" s="812"/>
      <c r="I104" s="812"/>
      <c r="J104" s="812"/>
      <c r="K104" s="812"/>
    </row>
    <row r="105" spans="1:11" s="56" customFormat="1" x14ac:dyDescent="0.2">
      <c r="A105" s="812" t="s">
        <v>577</v>
      </c>
      <c r="B105" s="812"/>
      <c r="C105" s="812"/>
      <c r="D105" s="812"/>
      <c r="E105" s="812"/>
      <c r="F105" s="812"/>
      <c r="G105" s="812"/>
      <c r="H105" s="812"/>
      <c r="I105" s="812"/>
      <c r="J105" s="812"/>
      <c r="K105" s="812"/>
    </row>
    <row r="106" spans="1:11" s="56" customFormat="1" x14ac:dyDescent="0.2">
      <c r="A106" s="812" t="s">
        <v>578</v>
      </c>
      <c r="B106" s="812"/>
      <c r="C106" s="812"/>
      <c r="D106" s="812"/>
      <c r="E106" s="812"/>
      <c r="F106" s="812"/>
      <c r="G106" s="812"/>
      <c r="H106" s="812"/>
      <c r="I106" s="812"/>
      <c r="J106" s="812"/>
      <c r="K106" s="812"/>
    </row>
    <row r="107" spans="1:11" ht="22.5" x14ac:dyDescent="0.2">
      <c r="A107" s="4" t="s">
        <v>646</v>
      </c>
    </row>
  </sheetData>
  <sheetProtection formatColumns="0" formatRows="0"/>
  <mergeCells count="13">
    <mergeCell ref="A99:K99"/>
    <mergeCell ref="A94:K94"/>
    <mergeCell ref="A95:K95"/>
    <mergeCell ref="A96:K96"/>
    <mergeCell ref="A97:K97"/>
    <mergeCell ref="A98:K98"/>
    <mergeCell ref="A106:K106"/>
    <mergeCell ref="A100:K100"/>
    <mergeCell ref="A101:K101"/>
    <mergeCell ref="A102:K102"/>
    <mergeCell ref="A103:K103"/>
    <mergeCell ref="A104:K104"/>
    <mergeCell ref="A105:K105"/>
  </mergeCells>
  <pageMargins left="0.70866141732283472" right="0.70866141732283472" top="0.59055118110236227" bottom="0.51181102362204722" header="0.31496062992125984" footer="0.31496062992125984"/>
  <pageSetup paperSize="9" scale="29" fitToHeight="2" orientation="portrait" r:id="rId1"/>
  <headerFooter>
    <oddHeader xml:space="preserve">&amp;C&amp;"Times New Roman,Bold"&amp;14
Naturālie rādītāji&amp;R&amp;"Times New Roman,Regular"&amp;14 5.pielikums
</oddHeader>
    <oddFooter>&amp;C&amp;"Times New Roman,Regular"&amp;12&amp;F &amp;A&amp;R&amp;"Times New Roman,Regular"&amp;12&amp;P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6">
    <tabColor theme="9" tint="0.79998168889431442"/>
    <pageSetUpPr fitToPage="1"/>
  </sheetPr>
  <dimension ref="A1:P124"/>
  <sheetViews>
    <sheetView topLeftCell="A79" zoomScale="85" zoomScaleNormal="85" workbookViewId="0">
      <selection activeCell="F103" sqref="F103"/>
    </sheetView>
  </sheetViews>
  <sheetFormatPr defaultColWidth="7.7109375" defaultRowHeight="18.75" x14ac:dyDescent="0.3"/>
  <cols>
    <col min="1" max="1" width="8.140625" style="102" customWidth="1"/>
    <col min="2" max="2" width="41.140625" style="102" customWidth="1"/>
    <col min="3" max="3" width="14.140625" style="102" customWidth="1"/>
    <col min="4" max="6" width="17.7109375" style="102" customWidth="1"/>
    <col min="7" max="7" width="22.85546875" style="102" customWidth="1"/>
    <col min="8" max="8" width="15.140625" style="102" customWidth="1"/>
    <col min="9" max="9" width="18.7109375" style="102" customWidth="1"/>
    <col min="10" max="10" width="33.7109375" style="495" customWidth="1"/>
    <col min="11" max="11" width="14.85546875" style="102" customWidth="1"/>
    <col min="12" max="12" width="15.5703125" style="102" customWidth="1"/>
    <col min="13" max="13" width="29.7109375" style="495" customWidth="1"/>
    <col min="14" max="230" width="9.140625" style="102" customWidth="1"/>
    <col min="231" max="231" width="3.140625" style="102" customWidth="1"/>
    <col min="232" max="232" width="4.42578125" style="102" customWidth="1"/>
    <col min="233" max="233" width="26" style="102" customWidth="1"/>
    <col min="234" max="234" width="8.7109375" style="102" customWidth="1"/>
    <col min="235" max="236" width="7.7109375" style="102"/>
    <col min="237" max="237" width="8.7109375" style="102" customWidth="1"/>
    <col min="238" max="239" width="7.7109375" style="102"/>
    <col min="240" max="240" width="8.7109375" style="102" customWidth="1"/>
    <col min="241" max="16384" width="7.7109375" style="102"/>
  </cols>
  <sheetData>
    <row r="1" spans="1:16" ht="131.25" x14ac:dyDescent="0.3">
      <c r="A1" s="98" t="s">
        <v>0</v>
      </c>
      <c r="B1" s="99" t="s">
        <v>561</v>
      </c>
      <c r="C1" s="100" t="s">
        <v>713</v>
      </c>
      <c r="D1" s="100" t="s">
        <v>716</v>
      </c>
      <c r="E1" s="100" t="s">
        <v>813</v>
      </c>
      <c r="F1" s="100" t="s">
        <v>814</v>
      </c>
      <c r="G1" s="100" t="s">
        <v>817</v>
      </c>
      <c r="H1" s="101" t="s">
        <v>717</v>
      </c>
      <c r="I1" s="101" t="s">
        <v>718</v>
      </c>
      <c r="J1" s="655" t="s">
        <v>645</v>
      </c>
      <c r="K1" s="101" t="s">
        <v>720</v>
      </c>
      <c r="L1" s="101" t="s">
        <v>719</v>
      </c>
      <c r="M1" s="655" t="s">
        <v>645</v>
      </c>
    </row>
    <row r="2" spans="1:16" x14ac:dyDescent="0.3">
      <c r="A2" s="98">
        <v>1</v>
      </c>
      <c r="B2" s="99">
        <v>2</v>
      </c>
      <c r="C2" s="98">
        <v>3</v>
      </c>
      <c r="D2" s="99">
        <v>4</v>
      </c>
      <c r="E2" s="98">
        <v>5</v>
      </c>
      <c r="F2" s="99">
        <v>6</v>
      </c>
      <c r="G2" s="98">
        <v>7</v>
      </c>
      <c r="H2" s="99">
        <v>8</v>
      </c>
      <c r="I2" s="98">
        <v>9</v>
      </c>
      <c r="J2" s="99">
        <v>10</v>
      </c>
      <c r="K2" s="98">
        <v>11</v>
      </c>
      <c r="L2" s="99">
        <v>12</v>
      </c>
      <c r="M2" s="98">
        <v>13</v>
      </c>
    </row>
    <row r="3" spans="1:16" x14ac:dyDescent="0.3">
      <c r="A3" s="105">
        <v>51000</v>
      </c>
      <c r="B3" s="106" t="s">
        <v>293</v>
      </c>
      <c r="C3" s="107">
        <f ca="1">C4+C6+C8+C10</f>
        <v>0</v>
      </c>
      <c r="D3" s="107">
        <f ca="1">D4+D6+D8+D10</f>
        <v>0</v>
      </c>
      <c r="E3" s="107">
        <v>0</v>
      </c>
      <c r="F3" s="107">
        <f ca="1">F4+F6+F8+F10</f>
        <v>0</v>
      </c>
      <c r="G3" s="496">
        <f>G6+G8</f>
        <v>47069</v>
      </c>
      <c r="H3" s="340">
        <f t="shared" ref="H3:H19" ca="1" si="0">G3-F3</f>
        <v>47069</v>
      </c>
      <c r="I3" s="337" t="str">
        <f t="shared" ref="I3" ca="1" si="1">IFERROR(H3/ABS(F3), "-")</f>
        <v>-</v>
      </c>
      <c r="J3" s="337"/>
      <c r="K3" s="340">
        <f t="shared" ref="K3:K19" si="2">G3-E3</f>
        <v>47069</v>
      </c>
      <c r="L3" s="337" t="str">
        <f t="shared" ref="L3" si="3">IFERROR(K3/ABS(E3), "-")</f>
        <v>-</v>
      </c>
      <c r="M3" s="337"/>
      <c r="P3" s="102">
        <v>100</v>
      </c>
    </row>
    <row r="4" spans="1:16" ht="40.5" customHeight="1" x14ac:dyDescent="0.3">
      <c r="A4" s="98">
        <v>51100</v>
      </c>
      <c r="B4" s="109" t="s">
        <v>546</v>
      </c>
      <c r="C4" s="110">
        <f ca="1">SUM(OFFSET(C6,-1,0):OFFSET(C4,1,0))</f>
        <v>0</v>
      </c>
      <c r="D4" s="110">
        <f ca="1">SUM(OFFSET(D6,-1,0):OFFSET(D4,1,0))</f>
        <v>0</v>
      </c>
      <c r="E4" s="110"/>
      <c r="F4" s="110">
        <f ca="1">SUM(OFFSET(F6,-1,0):OFFSET(F4,1,0))</f>
        <v>0</v>
      </c>
      <c r="G4" s="335"/>
      <c r="H4" s="340">
        <f t="shared" ca="1" si="0"/>
        <v>0</v>
      </c>
      <c r="I4" s="337" t="e">
        <f t="shared" ref="I4:I11" ca="1" si="4">H4/F4*P4</f>
        <v>#DIV/0!</v>
      </c>
      <c r="J4" s="809" t="s">
        <v>857</v>
      </c>
      <c r="K4" s="340">
        <f t="shared" si="2"/>
        <v>0</v>
      </c>
      <c r="L4" s="337"/>
      <c r="M4" s="809" t="s">
        <v>858</v>
      </c>
      <c r="P4" s="102">
        <v>100</v>
      </c>
    </row>
    <row r="5" spans="1:16" s="114" customFormat="1" x14ac:dyDescent="0.3">
      <c r="A5" s="111"/>
      <c r="B5" s="112"/>
      <c r="C5" s="113"/>
      <c r="D5" s="113"/>
      <c r="E5" s="113"/>
      <c r="F5" s="113"/>
      <c r="G5" s="336"/>
      <c r="H5" s="340">
        <f t="shared" si="0"/>
        <v>0</v>
      </c>
      <c r="I5" s="337" t="e">
        <f t="shared" si="4"/>
        <v>#DIV/0!</v>
      </c>
      <c r="J5" s="810"/>
      <c r="K5" s="340">
        <f t="shared" si="2"/>
        <v>0</v>
      </c>
      <c r="L5" s="353"/>
      <c r="M5" s="810"/>
      <c r="P5" s="102">
        <v>100</v>
      </c>
    </row>
    <row r="6" spans="1:16" ht="22.5" x14ac:dyDescent="0.3">
      <c r="A6" s="115">
        <v>51200</v>
      </c>
      <c r="B6" s="116" t="s">
        <v>547</v>
      </c>
      <c r="C6" s="110">
        <f ca="1">SUM(OFFSET(C8,-1,0):OFFSET(C6,1,0))</f>
        <v>0</v>
      </c>
      <c r="D6" s="110">
        <f ca="1">SUM(OFFSET(D8,-1,0):OFFSET(D6,1,0))</f>
        <v>0</v>
      </c>
      <c r="E6" s="110"/>
      <c r="F6" s="110">
        <f ca="1">SUM(OFFSET(F8,-1,0):OFFSET(F6,1,0))</f>
        <v>0</v>
      </c>
      <c r="G6" s="335">
        <f>G7</f>
        <v>10769</v>
      </c>
      <c r="H6" s="340">
        <f t="shared" ca="1" si="0"/>
        <v>10769</v>
      </c>
      <c r="I6" s="337" t="e">
        <f t="shared" ca="1" si="4"/>
        <v>#DIV/0!</v>
      </c>
      <c r="J6" s="810"/>
      <c r="K6" s="340">
        <f t="shared" si="2"/>
        <v>10769</v>
      </c>
      <c r="L6" s="337"/>
      <c r="M6" s="810"/>
      <c r="P6" s="102">
        <v>100</v>
      </c>
    </row>
    <row r="7" spans="1:16" s="114" customFormat="1" ht="37.5" x14ac:dyDescent="0.3">
      <c r="A7" s="62"/>
      <c r="B7" s="63" t="s">
        <v>856</v>
      </c>
      <c r="C7" s="113"/>
      <c r="D7" s="113"/>
      <c r="E7" s="113"/>
      <c r="F7" s="113"/>
      <c r="G7" s="336">
        <v>10769</v>
      </c>
      <c r="H7" s="340">
        <f t="shared" si="0"/>
        <v>10769</v>
      </c>
      <c r="I7" s="337" t="e">
        <f t="shared" si="4"/>
        <v>#DIV/0!</v>
      </c>
      <c r="J7" s="810"/>
      <c r="K7" s="340">
        <f t="shared" si="2"/>
        <v>10769</v>
      </c>
      <c r="L7" s="353"/>
      <c r="M7" s="810"/>
      <c r="P7" s="102">
        <v>100</v>
      </c>
    </row>
    <row r="8" spans="1:16" ht="56.25" x14ac:dyDescent="0.3">
      <c r="A8" s="115">
        <v>51300</v>
      </c>
      <c r="B8" s="116" t="s">
        <v>299</v>
      </c>
      <c r="C8" s="110">
        <f ca="1">SUM(OFFSET(C10,-1,0):OFFSET(C8,1,0))</f>
        <v>0</v>
      </c>
      <c r="D8" s="110">
        <f ca="1">SUM(OFFSET(D10,-1,0):OFFSET(D8,1,0))</f>
        <v>0</v>
      </c>
      <c r="E8" s="110"/>
      <c r="F8" s="110">
        <f ca="1">SUM(OFFSET(F10,-1,0):OFFSET(F8,1,0))</f>
        <v>0</v>
      </c>
      <c r="G8" s="335">
        <f>G9</f>
        <v>36300</v>
      </c>
      <c r="H8" s="340">
        <f t="shared" ca="1" si="0"/>
        <v>36300</v>
      </c>
      <c r="I8" s="337" t="e">
        <f t="shared" ca="1" si="4"/>
        <v>#DIV/0!</v>
      </c>
      <c r="J8" s="810"/>
      <c r="K8" s="340">
        <f t="shared" si="2"/>
        <v>36300</v>
      </c>
      <c r="L8" s="337"/>
      <c r="M8" s="810"/>
      <c r="P8" s="102">
        <v>100</v>
      </c>
    </row>
    <row r="9" spans="1:16" s="114" customFormat="1" ht="37.5" x14ac:dyDescent="0.3">
      <c r="A9" s="62"/>
      <c r="B9" s="63" t="s">
        <v>788</v>
      </c>
      <c r="C9" s="113"/>
      <c r="D9" s="113"/>
      <c r="E9" s="113"/>
      <c r="F9" s="113"/>
      <c r="G9" s="336">
        <v>36300</v>
      </c>
      <c r="H9" s="340">
        <f t="shared" si="0"/>
        <v>36300</v>
      </c>
      <c r="I9" s="337" t="e">
        <f t="shared" si="4"/>
        <v>#DIV/0!</v>
      </c>
      <c r="J9" s="810"/>
      <c r="K9" s="340">
        <f t="shared" si="2"/>
        <v>36300</v>
      </c>
      <c r="L9" s="353"/>
      <c r="M9" s="810"/>
      <c r="P9" s="102">
        <v>100</v>
      </c>
    </row>
    <row r="10" spans="1:16" ht="41.25" x14ac:dyDescent="0.3">
      <c r="A10" s="115">
        <v>51400</v>
      </c>
      <c r="B10" s="116" t="s">
        <v>548</v>
      </c>
      <c r="C10" s="110">
        <f ca="1">SUM(OFFSET(C12,-1,0):OFFSET(C10,1,0))</f>
        <v>0</v>
      </c>
      <c r="D10" s="110">
        <f ca="1">SUM(OFFSET(D12,-1,0):OFFSET(D10,1,0))</f>
        <v>0</v>
      </c>
      <c r="E10" s="110"/>
      <c r="F10" s="110">
        <f ca="1">SUM(OFFSET(F12,-1,0):OFFSET(F10,1,0))</f>
        <v>0</v>
      </c>
      <c r="G10" s="335"/>
      <c r="H10" s="340">
        <f t="shared" ca="1" si="0"/>
        <v>0</v>
      </c>
      <c r="I10" s="337" t="e">
        <f t="shared" ca="1" si="4"/>
        <v>#DIV/0!</v>
      </c>
      <c r="J10" s="810"/>
      <c r="K10" s="340">
        <f t="shared" si="2"/>
        <v>0</v>
      </c>
      <c r="L10" s="337"/>
      <c r="M10" s="810"/>
      <c r="P10" s="102">
        <v>100</v>
      </c>
    </row>
    <row r="11" spans="1:16" s="114" customFormat="1" x14ac:dyDescent="0.3">
      <c r="A11" s="62"/>
      <c r="B11" s="63"/>
      <c r="C11" s="113"/>
      <c r="D11" s="113"/>
      <c r="E11" s="113"/>
      <c r="F11" s="113"/>
      <c r="G11" s="336"/>
      <c r="H11" s="340">
        <f t="shared" si="0"/>
        <v>0</v>
      </c>
      <c r="I11" s="337" t="e">
        <f t="shared" si="4"/>
        <v>#DIV/0!</v>
      </c>
      <c r="J11" s="811"/>
      <c r="K11" s="340">
        <f t="shared" si="2"/>
        <v>0</v>
      </c>
      <c r="L11" s="353"/>
      <c r="M11" s="811"/>
      <c r="P11" s="102">
        <v>100</v>
      </c>
    </row>
    <row r="12" spans="1:16" x14ac:dyDescent="0.3">
      <c r="A12" s="105">
        <v>52000</v>
      </c>
      <c r="B12" s="106" t="s">
        <v>294</v>
      </c>
      <c r="C12" s="107">
        <f ca="1">SUM(OFFSET(C21,-1,0):OFFSET(C12,1,0))</f>
        <v>1034402</v>
      </c>
      <c r="D12" s="107">
        <f ca="1">SUM(OFFSET(D21,-1,0):OFFSET(D12,1,0))</f>
        <v>0</v>
      </c>
      <c r="E12" s="107">
        <f ca="1">SUM(OFFSET(E21,-1,0):OFFSET(E12,1,0))</f>
        <v>1034402</v>
      </c>
      <c r="F12" s="107">
        <f ca="1">SUM(OFFSET(F21,-1,0):OFFSET(F12,1,0))</f>
        <v>0</v>
      </c>
      <c r="G12" s="107">
        <f>G19</f>
        <v>0</v>
      </c>
      <c r="H12" s="340">
        <f t="shared" ca="1" si="0"/>
        <v>0</v>
      </c>
      <c r="I12" s="337" t="str">
        <f t="shared" ref="I12" ca="1" si="5">IFERROR(H12/ABS(F12), "-")</f>
        <v>-</v>
      </c>
      <c r="J12" s="337"/>
      <c r="K12" s="340">
        <f t="shared" ca="1" si="2"/>
        <v>-1034402</v>
      </c>
      <c r="L12" s="337">
        <f t="shared" ref="L12" ca="1" si="6">IFERROR(K12/ABS(E12), "-")</f>
        <v>-1</v>
      </c>
      <c r="M12" s="337"/>
      <c r="P12" s="102">
        <v>100</v>
      </c>
    </row>
    <row r="13" spans="1:16" ht="22.5" x14ac:dyDescent="0.3">
      <c r="A13" s="117">
        <v>52100</v>
      </c>
      <c r="B13" s="118" t="s">
        <v>549</v>
      </c>
      <c r="C13" s="113"/>
      <c r="D13" s="119"/>
      <c r="E13" s="119"/>
      <c r="F13" s="119"/>
      <c r="G13" s="335"/>
      <c r="H13" s="340">
        <f t="shared" si="0"/>
        <v>0</v>
      </c>
      <c r="I13" s="337" t="e">
        <f t="shared" ref="I13:I19" si="7">H13/F13*P13</f>
        <v>#DIV/0!</v>
      </c>
      <c r="J13" s="809" t="s">
        <v>859</v>
      </c>
      <c r="K13" s="340">
        <f t="shared" si="2"/>
        <v>0</v>
      </c>
      <c r="L13" s="337"/>
      <c r="M13" s="809" t="s">
        <v>860</v>
      </c>
      <c r="P13" s="102">
        <v>100</v>
      </c>
    </row>
    <row r="14" spans="1:16" ht="22.5" x14ac:dyDescent="0.3">
      <c r="A14" s="117">
        <v>52200</v>
      </c>
      <c r="B14" s="118" t="s">
        <v>550</v>
      </c>
      <c r="C14" s="113"/>
      <c r="D14" s="119"/>
      <c r="E14" s="119"/>
      <c r="F14" s="119"/>
      <c r="G14" s="335"/>
      <c r="H14" s="340">
        <f t="shared" si="0"/>
        <v>0</v>
      </c>
      <c r="I14" s="337" t="e">
        <f t="shared" si="7"/>
        <v>#DIV/0!</v>
      </c>
      <c r="J14" s="810"/>
      <c r="K14" s="340">
        <f t="shared" si="2"/>
        <v>0</v>
      </c>
      <c r="L14" s="337"/>
      <c r="M14" s="810"/>
      <c r="P14" s="102">
        <v>100</v>
      </c>
    </row>
    <row r="15" spans="1:16" ht="22.5" x14ac:dyDescent="0.3">
      <c r="A15" s="117">
        <v>52300</v>
      </c>
      <c r="B15" s="118" t="s">
        <v>551</v>
      </c>
      <c r="C15" s="113"/>
      <c r="D15" s="119"/>
      <c r="E15" s="119"/>
      <c r="F15" s="119"/>
      <c r="G15" s="335"/>
      <c r="H15" s="340">
        <f t="shared" si="0"/>
        <v>0</v>
      </c>
      <c r="I15" s="337" t="e">
        <f t="shared" si="7"/>
        <v>#DIV/0!</v>
      </c>
      <c r="J15" s="810"/>
      <c r="K15" s="340">
        <f t="shared" si="2"/>
        <v>0</v>
      </c>
      <c r="L15" s="337"/>
      <c r="M15" s="810"/>
      <c r="P15" s="102">
        <v>100</v>
      </c>
    </row>
    <row r="16" spans="1:16" ht="22.5" x14ac:dyDescent="0.3">
      <c r="A16" s="117">
        <v>52400</v>
      </c>
      <c r="B16" s="118" t="s">
        <v>552</v>
      </c>
      <c r="C16" s="113"/>
      <c r="D16" s="119"/>
      <c r="E16" s="119"/>
      <c r="F16" s="119"/>
      <c r="G16" s="335"/>
      <c r="H16" s="340">
        <f t="shared" si="0"/>
        <v>0</v>
      </c>
      <c r="I16" s="337" t="e">
        <f t="shared" si="7"/>
        <v>#DIV/0!</v>
      </c>
      <c r="J16" s="810"/>
      <c r="K16" s="340">
        <f t="shared" si="2"/>
        <v>0</v>
      </c>
      <c r="L16" s="337"/>
      <c r="M16" s="810"/>
      <c r="P16" s="102">
        <v>100</v>
      </c>
    </row>
    <row r="17" spans="1:16" ht="22.5" x14ac:dyDescent="0.3">
      <c r="A17" s="117">
        <v>52500</v>
      </c>
      <c r="B17" s="118" t="s">
        <v>553</v>
      </c>
      <c r="C17" s="113"/>
      <c r="D17" s="119"/>
      <c r="E17" s="119"/>
      <c r="F17" s="119"/>
      <c r="G17" s="335"/>
      <c r="H17" s="340">
        <f t="shared" si="0"/>
        <v>0</v>
      </c>
      <c r="I17" s="337" t="e">
        <f t="shared" si="7"/>
        <v>#DIV/0!</v>
      </c>
      <c r="J17" s="810"/>
      <c r="K17" s="340">
        <f t="shared" si="2"/>
        <v>0</v>
      </c>
      <c r="L17" s="337"/>
      <c r="M17" s="810"/>
      <c r="P17" s="102">
        <v>100</v>
      </c>
    </row>
    <row r="18" spans="1:16" x14ac:dyDescent="0.3">
      <c r="A18" s="117">
        <v>52600</v>
      </c>
      <c r="B18" s="118" t="s">
        <v>292</v>
      </c>
      <c r="C18" s="113"/>
      <c r="D18" s="119"/>
      <c r="E18" s="119"/>
      <c r="F18" s="119"/>
      <c r="G18" s="335">
        <v>514861</v>
      </c>
      <c r="H18" s="340">
        <f t="shared" si="0"/>
        <v>514861</v>
      </c>
      <c r="I18" s="337" t="e">
        <f t="shared" si="7"/>
        <v>#DIV/0!</v>
      </c>
      <c r="J18" s="810"/>
      <c r="K18" s="340">
        <f t="shared" si="2"/>
        <v>514861</v>
      </c>
      <c r="L18" s="337"/>
      <c r="M18" s="810"/>
      <c r="P18" s="102">
        <v>100</v>
      </c>
    </row>
    <row r="19" spans="1:16" ht="22.5" x14ac:dyDescent="0.3">
      <c r="A19" s="122">
        <v>52700</v>
      </c>
      <c r="B19" s="123" t="s">
        <v>554</v>
      </c>
      <c r="C19" s="354">
        <v>1034402</v>
      </c>
      <c r="D19" s="355"/>
      <c r="E19" s="355">
        <v>1034402</v>
      </c>
      <c r="F19" s="355"/>
      <c r="G19" s="497"/>
      <c r="H19" s="356">
        <f t="shared" si="0"/>
        <v>0</v>
      </c>
      <c r="I19" s="357" t="e">
        <f t="shared" si="7"/>
        <v>#DIV/0!</v>
      </c>
      <c r="J19" s="810"/>
      <c r="K19" s="340">
        <f t="shared" si="2"/>
        <v>-1034402</v>
      </c>
      <c r="L19" s="337"/>
      <c r="M19" s="810"/>
      <c r="P19" s="102">
        <v>100</v>
      </c>
    </row>
    <row r="20" spans="1:16" ht="114" customHeight="1" x14ac:dyDescent="0.3">
      <c r="A20" s="358"/>
      <c r="B20" s="359"/>
      <c r="C20" s="113"/>
      <c r="D20" s="119"/>
      <c r="E20" s="119"/>
      <c r="F20" s="119"/>
      <c r="G20" s="498"/>
      <c r="H20" s="340"/>
      <c r="I20" s="337"/>
      <c r="J20" s="811"/>
      <c r="K20" s="340"/>
      <c r="L20" s="337"/>
      <c r="M20" s="811"/>
    </row>
    <row r="21" spans="1:16" x14ac:dyDescent="0.3">
      <c r="A21" s="105">
        <v>53000</v>
      </c>
      <c r="B21" s="106" t="s">
        <v>295</v>
      </c>
      <c r="C21" s="107">
        <f ca="1">C22+C79+C82+C88+C99+C102</f>
        <v>750339</v>
      </c>
      <c r="D21" s="107">
        <f ca="1">D22+D79+D82+D88+D99+D102</f>
        <v>898524</v>
      </c>
      <c r="E21" s="107">
        <f>E22+E79+E82+E88</f>
        <v>750339</v>
      </c>
      <c r="F21" s="107">
        <f ca="1">F22+F79+F82+F88+F99+F102</f>
        <v>898524</v>
      </c>
      <c r="G21" s="107">
        <f>G22+G79+G82+G88</f>
        <v>776172</v>
      </c>
      <c r="H21" s="340">
        <f t="shared" ref="H21:H72" ca="1" si="8">G21-F21</f>
        <v>-122352</v>
      </c>
      <c r="I21" s="360">
        <f t="shared" ref="I21:I22" ca="1" si="9">IFERROR(H21/ABS(F21), "-")</f>
        <v>-0.13616998544279285</v>
      </c>
      <c r="J21" s="337"/>
      <c r="K21" s="340">
        <f t="shared" ref="K21:K38" si="10">G21-E21</f>
        <v>25833</v>
      </c>
      <c r="L21" s="360">
        <f t="shared" ref="L21:L22" si="11">IFERROR(K21/ABS(E21), "-")</f>
        <v>3.4428438345867667E-2</v>
      </c>
      <c r="M21" s="337"/>
      <c r="P21" s="102">
        <v>100</v>
      </c>
    </row>
    <row r="22" spans="1:16" ht="41.25" customHeight="1" x14ac:dyDescent="0.3">
      <c r="A22" s="338">
        <v>53100</v>
      </c>
      <c r="B22" s="339" t="s">
        <v>555</v>
      </c>
      <c r="C22" s="654">
        <f>C23+C76</f>
        <v>682771</v>
      </c>
      <c r="D22" s="654">
        <f ca="1">D23+D76</f>
        <v>876574</v>
      </c>
      <c r="E22" s="654">
        <f>E23+E76</f>
        <v>682771</v>
      </c>
      <c r="F22" s="654">
        <f>F23+F76</f>
        <v>876574</v>
      </c>
      <c r="G22" s="499">
        <f>G23+G76</f>
        <v>723248</v>
      </c>
      <c r="H22" s="340">
        <f t="shared" si="8"/>
        <v>-153326</v>
      </c>
      <c r="I22" s="360">
        <f t="shared" si="9"/>
        <v>-0.17491506706792581</v>
      </c>
      <c r="J22" s="818" t="s">
        <v>861</v>
      </c>
      <c r="K22" s="340">
        <f t="shared" si="10"/>
        <v>40477</v>
      </c>
      <c r="L22" s="360">
        <f t="shared" si="11"/>
        <v>5.928342006324229E-2</v>
      </c>
      <c r="M22" s="809" t="s">
        <v>862</v>
      </c>
      <c r="P22" s="102">
        <v>100</v>
      </c>
    </row>
    <row r="23" spans="1:16" ht="37.5" customHeight="1" x14ac:dyDescent="0.3">
      <c r="A23" s="117">
        <v>53110</v>
      </c>
      <c r="B23" s="328" t="s">
        <v>297</v>
      </c>
      <c r="C23" s="110">
        <v>659418</v>
      </c>
      <c r="D23" s="110">
        <f>SUM(D25:D72)</f>
        <v>876574</v>
      </c>
      <c r="E23" s="110">
        <v>659418</v>
      </c>
      <c r="F23" s="110">
        <v>876574</v>
      </c>
      <c r="G23" s="110">
        <f>G26+G27+G28+G29+G30+G31+G32+G33+G34+G35+G36+G37+G38+G39+G40+G41+G42+G43+G44+G45+G46+G47+G48+G49+G50+G51+G52+G53+G54+G55+G56+G57+G58+G59+G60+G61+G62+G63+G64+G65+G66+G67+G68+G69+G70+G71+G72+G73+G74</f>
        <v>723248</v>
      </c>
      <c r="H23" s="340">
        <f t="shared" si="8"/>
        <v>-153326</v>
      </c>
      <c r="I23" s="360">
        <f t="shared" ref="I23:I57" si="12">H23/F23*P23</f>
        <v>-17.491506706792581</v>
      </c>
      <c r="J23" s="819"/>
      <c r="K23" s="340">
        <f t="shared" si="10"/>
        <v>63830</v>
      </c>
      <c r="L23" s="337"/>
      <c r="M23" s="810"/>
      <c r="P23" s="102">
        <v>100</v>
      </c>
    </row>
    <row r="24" spans="1:16" s="114" customFormat="1" ht="18.75" customHeight="1" x14ac:dyDescent="0.3">
      <c r="A24" s="64"/>
      <c r="B24" s="65"/>
      <c r="C24" s="113"/>
      <c r="D24" s="119"/>
      <c r="E24" s="119"/>
      <c r="F24" s="119"/>
      <c r="G24" s="336"/>
      <c r="H24" s="340">
        <f t="shared" si="8"/>
        <v>0</v>
      </c>
      <c r="I24" s="337" t="e">
        <f t="shared" si="12"/>
        <v>#DIV/0!</v>
      </c>
      <c r="J24" s="819"/>
      <c r="K24" s="340">
        <f t="shared" si="10"/>
        <v>0</v>
      </c>
      <c r="L24" s="353"/>
      <c r="M24" s="810"/>
      <c r="P24" s="102">
        <v>100</v>
      </c>
    </row>
    <row r="25" spans="1:16" s="114" customFormat="1" x14ac:dyDescent="0.3">
      <c r="A25" s="64"/>
      <c r="B25" s="65" t="s">
        <v>723</v>
      </c>
      <c r="C25" s="113"/>
      <c r="D25" s="119">
        <v>1000</v>
      </c>
      <c r="E25" s="119"/>
      <c r="F25" s="119">
        <v>1000</v>
      </c>
      <c r="G25" s="336"/>
      <c r="H25" s="340">
        <f t="shared" si="8"/>
        <v>-1000</v>
      </c>
      <c r="I25" s="337">
        <f t="shared" si="12"/>
        <v>-100</v>
      </c>
      <c r="J25" s="819"/>
      <c r="K25" s="340">
        <f t="shared" si="10"/>
        <v>0</v>
      </c>
      <c r="L25" s="353"/>
      <c r="M25" s="810"/>
      <c r="P25" s="102">
        <v>100</v>
      </c>
    </row>
    <row r="26" spans="1:16" s="114" customFormat="1" ht="37.5" x14ac:dyDescent="0.3">
      <c r="A26" s="64"/>
      <c r="B26" s="65" t="s">
        <v>850</v>
      </c>
      <c r="C26" s="113"/>
      <c r="D26" s="119">
        <v>8000</v>
      </c>
      <c r="E26" s="119"/>
      <c r="F26" s="119">
        <v>8000</v>
      </c>
      <c r="G26" s="336">
        <v>6604</v>
      </c>
      <c r="H26" s="340">
        <f t="shared" si="8"/>
        <v>-1396</v>
      </c>
      <c r="I26" s="337">
        <f t="shared" si="12"/>
        <v>-17.45</v>
      </c>
      <c r="J26" s="819"/>
      <c r="K26" s="340">
        <f t="shared" si="10"/>
        <v>6604</v>
      </c>
      <c r="L26" s="353"/>
      <c r="M26" s="810"/>
      <c r="P26" s="102">
        <v>100</v>
      </c>
    </row>
    <row r="27" spans="1:16" s="114" customFormat="1" ht="37.5" x14ac:dyDescent="0.3">
      <c r="A27" s="64"/>
      <c r="B27" s="65" t="s">
        <v>724</v>
      </c>
      <c r="C27" s="113"/>
      <c r="D27" s="119">
        <v>1000</v>
      </c>
      <c r="E27" s="119"/>
      <c r="F27" s="119">
        <v>1000</v>
      </c>
      <c r="G27" s="336">
        <v>847</v>
      </c>
      <c r="H27" s="340">
        <f t="shared" si="8"/>
        <v>-153</v>
      </c>
      <c r="I27" s="337">
        <f t="shared" si="12"/>
        <v>-15.299999999999999</v>
      </c>
      <c r="J27" s="819"/>
      <c r="K27" s="340">
        <f t="shared" si="10"/>
        <v>847</v>
      </c>
      <c r="L27" s="353"/>
      <c r="M27" s="810"/>
      <c r="P27" s="102">
        <v>100</v>
      </c>
    </row>
    <row r="28" spans="1:16" s="114" customFormat="1" ht="37.5" x14ac:dyDescent="0.3">
      <c r="A28" s="64"/>
      <c r="B28" s="65" t="s">
        <v>725</v>
      </c>
      <c r="C28" s="113"/>
      <c r="D28" s="119">
        <v>1500</v>
      </c>
      <c r="E28" s="119"/>
      <c r="F28" s="119">
        <v>1500</v>
      </c>
      <c r="G28" s="336"/>
      <c r="H28" s="340">
        <f t="shared" si="8"/>
        <v>-1500</v>
      </c>
      <c r="I28" s="337">
        <f t="shared" si="12"/>
        <v>-100</v>
      </c>
      <c r="J28" s="819"/>
      <c r="K28" s="340">
        <f t="shared" si="10"/>
        <v>0</v>
      </c>
      <c r="L28" s="353"/>
      <c r="M28" s="810"/>
      <c r="P28" s="102">
        <v>100</v>
      </c>
    </row>
    <row r="29" spans="1:16" s="114" customFormat="1" ht="37.5" x14ac:dyDescent="0.3">
      <c r="A29" s="64"/>
      <c r="B29" s="65" t="s">
        <v>726</v>
      </c>
      <c r="C29" s="113"/>
      <c r="D29" s="119">
        <v>6000</v>
      </c>
      <c r="E29" s="119"/>
      <c r="F29" s="119">
        <v>6000</v>
      </c>
      <c r="G29" s="336"/>
      <c r="H29" s="340">
        <f t="shared" si="8"/>
        <v>-6000</v>
      </c>
      <c r="I29" s="337">
        <f t="shared" si="12"/>
        <v>-100</v>
      </c>
      <c r="J29" s="819"/>
      <c r="K29" s="340">
        <f t="shared" si="10"/>
        <v>0</v>
      </c>
      <c r="L29" s="353"/>
      <c r="M29" s="810"/>
      <c r="P29" s="102">
        <v>100</v>
      </c>
    </row>
    <row r="30" spans="1:16" s="114" customFormat="1" ht="37.5" x14ac:dyDescent="0.3">
      <c r="A30" s="64"/>
      <c r="B30" s="65" t="s">
        <v>727</v>
      </c>
      <c r="C30" s="113"/>
      <c r="D30" s="119">
        <v>332</v>
      </c>
      <c r="E30" s="119"/>
      <c r="F30" s="119">
        <v>332</v>
      </c>
      <c r="G30" s="336">
        <v>1134</v>
      </c>
      <c r="H30" s="340">
        <f t="shared" si="8"/>
        <v>802</v>
      </c>
      <c r="I30" s="360">
        <f t="shared" si="12"/>
        <v>241.56626506024094</v>
      </c>
      <c r="J30" s="819"/>
      <c r="K30" s="340">
        <f t="shared" si="10"/>
        <v>1134</v>
      </c>
      <c r="L30" s="353"/>
      <c r="M30" s="810"/>
      <c r="P30" s="102">
        <v>100</v>
      </c>
    </row>
    <row r="31" spans="1:16" s="114" customFormat="1" x14ac:dyDescent="0.3">
      <c r="A31" s="64"/>
      <c r="B31" s="65" t="s">
        <v>728</v>
      </c>
      <c r="C31" s="113"/>
      <c r="D31" s="119">
        <v>442</v>
      </c>
      <c r="E31" s="119"/>
      <c r="F31" s="119">
        <v>442</v>
      </c>
      <c r="G31" s="336"/>
      <c r="H31" s="340">
        <f t="shared" si="8"/>
        <v>-442</v>
      </c>
      <c r="I31" s="337">
        <f t="shared" si="12"/>
        <v>-100</v>
      </c>
      <c r="J31" s="819"/>
      <c r="K31" s="340">
        <f t="shared" si="10"/>
        <v>0</v>
      </c>
      <c r="L31" s="353"/>
      <c r="M31" s="810"/>
      <c r="P31" s="102">
        <v>100</v>
      </c>
    </row>
    <row r="32" spans="1:16" s="114" customFormat="1" x14ac:dyDescent="0.3">
      <c r="A32" s="64"/>
      <c r="B32" s="65" t="s">
        <v>729</v>
      </c>
      <c r="C32" s="113"/>
      <c r="D32" s="119">
        <v>3600</v>
      </c>
      <c r="E32" s="119"/>
      <c r="F32" s="119">
        <v>3600</v>
      </c>
      <c r="G32" s="336"/>
      <c r="H32" s="340">
        <f t="shared" si="8"/>
        <v>-3600</v>
      </c>
      <c r="I32" s="337">
        <f t="shared" si="12"/>
        <v>-100</v>
      </c>
      <c r="J32" s="819"/>
      <c r="K32" s="340">
        <f t="shared" si="10"/>
        <v>0</v>
      </c>
      <c r="L32" s="353"/>
      <c r="M32" s="810"/>
      <c r="P32" s="102">
        <v>100</v>
      </c>
    </row>
    <row r="33" spans="1:16" s="114" customFormat="1" x14ac:dyDescent="0.3">
      <c r="A33" s="64"/>
      <c r="B33" s="65" t="s">
        <v>730</v>
      </c>
      <c r="C33" s="113"/>
      <c r="D33" s="119">
        <v>800</v>
      </c>
      <c r="E33" s="119"/>
      <c r="F33" s="119">
        <v>800</v>
      </c>
      <c r="G33" s="336"/>
      <c r="H33" s="340">
        <f t="shared" si="8"/>
        <v>-800</v>
      </c>
      <c r="I33" s="337">
        <f t="shared" si="12"/>
        <v>-100</v>
      </c>
      <c r="J33" s="819"/>
      <c r="K33" s="340">
        <f t="shared" si="10"/>
        <v>0</v>
      </c>
      <c r="L33" s="353"/>
      <c r="M33" s="810"/>
      <c r="P33" s="102">
        <v>100</v>
      </c>
    </row>
    <row r="34" spans="1:16" s="114" customFormat="1" ht="37.5" x14ac:dyDescent="0.3">
      <c r="A34" s="64"/>
      <c r="B34" s="65" t="s">
        <v>731</v>
      </c>
      <c r="C34" s="113"/>
      <c r="D34" s="119">
        <v>170</v>
      </c>
      <c r="E34" s="119"/>
      <c r="F34" s="119">
        <v>170</v>
      </c>
      <c r="G34" s="336"/>
      <c r="H34" s="340">
        <f t="shared" si="8"/>
        <v>-170</v>
      </c>
      <c r="I34" s="337">
        <f t="shared" si="12"/>
        <v>-100</v>
      </c>
      <c r="J34" s="819"/>
      <c r="K34" s="340">
        <f t="shared" si="10"/>
        <v>0</v>
      </c>
      <c r="L34" s="353"/>
      <c r="M34" s="810"/>
      <c r="P34" s="102">
        <v>100</v>
      </c>
    </row>
    <row r="35" spans="1:16" s="114" customFormat="1" x14ac:dyDescent="0.3">
      <c r="A35" s="64"/>
      <c r="B35" s="65" t="s">
        <v>732</v>
      </c>
      <c r="C35" s="113"/>
      <c r="D35" s="119">
        <v>300</v>
      </c>
      <c r="E35" s="119"/>
      <c r="F35" s="119">
        <v>300</v>
      </c>
      <c r="G35" s="336"/>
      <c r="H35" s="340">
        <f t="shared" si="8"/>
        <v>-300</v>
      </c>
      <c r="I35" s="337">
        <f t="shared" si="12"/>
        <v>-100</v>
      </c>
      <c r="J35" s="819"/>
      <c r="K35" s="340">
        <f t="shared" si="10"/>
        <v>0</v>
      </c>
      <c r="L35" s="353"/>
      <c r="M35" s="810"/>
      <c r="P35" s="102">
        <v>100</v>
      </c>
    </row>
    <row r="36" spans="1:16" s="114" customFormat="1" x14ac:dyDescent="0.3">
      <c r="A36" s="64"/>
      <c r="B36" s="65" t="s">
        <v>733</v>
      </c>
      <c r="C36" s="113"/>
      <c r="D36" s="119">
        <v>1200</v>
      </c>
      <c r="E36" s="119"/>
      <c r="F36" s="119">
        <v>1200</v>
      </c>
      <c r="G36" s="336">
        <v>1534</v>
      </c>
      <c r="H36" s="340">
        <f t="shared" si="8"/>
        <v>334</v>
      </c>
      <c r="I36" s="360">
        <f t="shared" si="12"/>
        <v>27.833333333333332</v>
      </c>
      <c r="J36" s="819"/>
      <c r="K36" s="340">
        <f t="shared" si="10"/>
        <v>1534</v>
      </c>
      <c r="L36" s="353"/>
      <c r="M36" s="810"/>
      <c r="P36" s="102">
        <v>100</v>
      </c>
    </row>
    <row r="37" spans="1:16" s="114" customFormat="1" x14ac:dyDescent="0.3">
      <c r="A37" s="64"/>
      <c r="B37" s="65" t="s">
        <v>734</v>
      </c>
      <c r="C37" s="113"/>
      <c r="D37" s="119">
        <v>600</v>
      </c>
      <c r="E37" s="119"/>
      <c r="F37" s="119">
        <v>600</v>
      </c>
      <c r="G37" s="336"/>
      <c r="H37" s="340">
        <f t="shared" si="8"/>
        <v>-600</v>
      </c>
      <c r="I37" s="337">
        <f t="shared" si="12"/>
        <v>-100</v>
      </c>
      <c r="J37" s="819"/>
      <c r="K37" s="340">
        <f t="shared" si="10"/>
        <v>0</v>
      </c>
      <c r="L37" s="353"/>
      <c r="M37" s="810"/>
      <c r="P37" s="102">
        <v>100</v>
      </c>
    </row>
    <row r="38" spans="1:16" s="114" customFormat="1" x14ac:dyDescent="0.3">
      <c r="A38" s="64"/>
      <c r="B38" s="65" t="s">
        <v>735</v>
      </c>
      <c r="C38" s="113"/>
      <c r="D38" s="119">
        <v>250</v>
      </c>
      <c r="E38" s="119"/>
      <c r="F38" s="119">
        <v>250</v>
      </c>
      <c r="G38" s="336">
        <v>1866</v>
      </c>
      <c r="H38" s="340">
        <f t="shared" si="8"/>
        <v>1616</v>
      </c>
      <c r="I38" s="337">
        <f t="shared" si="12"/>
        <v>646.40000000000009</v>
      </c>
      <c r="J38" s="819"/>
      <c r="K38" s="340">
        <f t="shared" si="10"/>
        <v>1866</v>
      </c>
      <c r="L38" s="353"/>
      <c r="M38" s="810"/>
      <c r="P38" s="102">
        <v>100</v>
      </c>
    </row>
    <row r="39" spans="1:16" s="114" customFormat="1" x14ac:dyDescent="0.3">
      <c r="A39" s="64"/>
      <c r="B39" s="65" t="s">
        <v>736</v>
      </c>
      <c r="C39" s="113"/>
      <c r="D39" s="119">
        <v>700</v>
      </c>
      <c r="E39" s="119"/>
      <c r="F39" s="119">
        <v>700</v>
      </c>
      <c r="G39" s="336">
        <v>3473</v>
      </c>
      <c r="H39" s="340">
        <f t="shared" si="8"/>
        <v>2773</v>
      </c>
      <c r="I39" s="337">
        <f t="shared" si="12"/>
        <v>396.14285714285711</v>
      </c>
      <c r="J39" s="819"/>
      <c r="K39" s="340" t="e">
        <f>#REF!-E39</f>
        <v>#REF!</v>
      </c>
      <c r="L39" s="353"/>
      <c r="M39" s="810"/>
      <c r="P39" s="102">
        <v>100</v>
      </c>
    </row>
    <row r="40" spans="1:16" s="114" customFormat="1" ht="37.5" x14ac:dyDescent="0.3">
      <c r="A40" s="64"/>
      <c r="B40" s="65" t="s">
        <v>737</v>
      </c>
      <c r="C40" s="113"/>
      <c r="D40" s="119">
        <v>9000</v>
      </c>
      <c r="E40" s="119"/>
      <c r="F40" s="119">
        <v>9000</v>
      </c>
      <c r="G40" s="336">
        <v>9063</v>
      </c>
      <c r="H40" s="340">
        <f t="shared" si="8"/>
        <v>63</v>
      </c>
      <c r="I40" s="337">
        <f t="shared" si="12"/>
        <v>0.70000000000000007</v>
      </c>
      <c r="J40" s="819"/>
      <c r="K40" s="340">
        <f t="shared" ref="K40:K56" si="13">G40-E40</f>
        <v>9063</v>
      </c>
      <c r="L40" s="353"/>
      <c r="M40" s="810"/>
      <c r="P40" s="102">
        <v>100</v>
      </c>
    </row>
    <row r="41" spans="1:16" s="114" customFormat="1" x14ac:dyDescent="0.3">
      <c r="A41" s="64"/>
      <c r="B41" s="65" t="s">
        <v>738</v>
      </c>
      <c r="C41" s="113"/>
      <c r="D41" s="119">
        <v>4000</v>
      </c>
      <c r="E41" s="119"/>
      <c r="F41" s="119">
        <v>4000</v>
      </c>
      <c r="G41" s="336">
        <v>5342</v>
      </c>
      <c r="H41" s="340">
        <f t="shared" si="8"/>
        <v>1342</v>
      </c>
      <c r="I41" s="337">
        <f t="shared" si="12"/>
        <v>33.550000000000004</v>
      </c>
      <c r="J41" s="819"/>
      <c r="K41" s="340">
        <f t="shared" si="13"/>
        <v>5342</v>
      </c>
      <c r="L41" s="353"/>
      <c r="M41" s="810"/>
      <c r="P41" s="102">
        <v>100</v>
      </c>
    </row>
    <row r="42" spans="1:16" s="114" customFormat="1" ht="37.5" x14ac:dyDescent="0.3">
      <c r="A42" s="64"/>
      <c r="B42" s="65" t="s">
        <v>854</v>
      </c>
      <c r="C42" s="113"/>
      <c r="D42" s="119">
        <v>6000</v>
      </c>
      <c r="E42" s="119"/>
      <c r="F42" s="119">
        <v>6000</v>
      </c>
      <c r="G42" s="336">
        <v>5342</v>
      </c>
      <c r="H42" s="340">
        <f t="shared" si="8"/>
        <v>-658</v>
      </c>
      <c r="I42" s="337">
        <f t="shared" si="12"/>
        <v>-10.966666666666667</v>
      </c>
      <c r="J42" s="819"/>
      <c r="K42" s="340">
        <f t="shared" si="13"/>
        <v>5342</v>
      </c>
      <c r="L42" s="353"/>
      <c r="M42" s="810"/>
      <c r="P42" s="102">
        <v>100</v>
      </c>
    </row>
    <row r="43" spans="1:16" s="114" customFormat="1" x14ac:dyDescent="0.3">
      <c r="A43" s="64"/>
      <c r="B43" s="65" t="s">
        <v>739</v>
      </c>
      <c r="C43" s="113"/>
      <c r="D43" s="119">
        <v>2700</v>
      </c>
      <c r="E43" s="119"/>
      <c r="F43" s="119">
        <v>2700</v>
      </c>
      <c r="G43" s="336">
        <f>1159+630</f>
        <v>1789</v>
      </c>
      <c r="H43" s="340">
        <f t="shared" si="8"/>
        <v>-911</v>
      </c>
      <c r="I43" s="360">
        <f t="shared" si="12"/>
        <v>-33.74074074074074</v>
      </c>
      <c r="J43" s="819"/>
      <c r="K43" s="340">
        <f t="shared" si="13"/>
        <v>1789</v>
      </c>
      <c r="L43" s="353"/>
      <c r="M43" s="810"/>
      <c r="P43" s="102">
        <v>100</v>
      </c>
    </row>
    <row r="44" spans="1:16" s="114" customFormat="1" x14ac:dyDescent="0.3">
      <c r="A44" s="64"/>
      <c r="B44" s="65" t="s">
        <v>740</v>
      </c>
      <c r="C44" s="113"/>
      <c r="D44" s="119">
        <v>5400</v>
      </c>
      <c r="E44" s="119"/>
      <c r="F44" s="119">
        <v>5400</v>
      </c>
      <c r="G44" s="336">
        <v>4670</v>
      </c>
      <c r="H44" s="340">
        <f t="shared" si="8"/>
        <v>-730</v>
      </c>
      <c r="I44" s="337">
        <f t="shared" si="12"/>
        <v>-13.518518518518519</v>
      </c>
      <c r="J44" s="819"/>
      <c r="K44" s="340">
        <f t="shared" si="13"/>
        <v>4670</v>
      </c>
      <c r="L44" s="353"/>
      <c r="M44" s="810"/>
      <c r="P44" s="102">
        <v>100</v>
      </c>
    </row>
    <row r="45" spans="1:16" s="114" customFormat="1" ht="56.25" x14ac:dyDescent="0.3">
      <c r="A45" s="64"/>
      <c r="B45" s="65" t="s">
        <v>741</v>
      </c>
      <c r="C45" s="113"/>
      <c r="D45" s="119">
        <v>300</v>
      </c>
      <c r="E45" s="119"/>
      <c r="F45" s="119">
        <v>300</v>
      </c>
      <c r="G45" s="336"/>
      <c r="H45" s="340">
        <f t="shared" si="8"/>
        <v>-300</v>
      </c>
      <c r="I45" s="337">
        <f t="shared" si="12"/>
        <v>-100</v>
      </c>
      <c r="J45" s="819"/>
      <c r="K45" s="340">
        <f t="shared" si="13"/>
        <v>0</v>
      </c>
      <c r="L45" s="353"/>
      <c r="M45" s="810"/>
      <c r="P45" s="102">
        <v>100</v>
      </c>
    </row>
    <row r="46" spans="1:16" s="114" customFormat="1" x14ac:dyDescent="0.3">
      <c r="A46" s="64"/>
      <c r="B46" s="65" t="s">
        <v>742</v>
      </c>
      <c r="C46" s="113"/>
      <c r="D46" s="119">
        <v>1000</v>
      </c>
      <c r="E46" s="119"/>
      <c r="F46" s="119">
        <v>1000</v>
      </c>
      <c r="G46" s="336"/>
      <c r="H46" s="340">
        <f t="shared" si="8"/>
        <v>-1000</v>
      </c>
      <c r="I46" s="337">
        <f t="shared" si="12"/>
        <v>-100</v>
      </c>
      <c r="J46" s="819"/>
      <c r="K46" s="340">
        <f t="shared" si="13"/>
        <v>0</v>
      </c>
      <c r="L46" s="353"/>
      <c r="M46" s="810"/>
      <c r="P46" s="102">
        <v>100</v>
      </c>
    </row>
    <row r="47" spans="1:16" s="114" customFormat="1" x14ac:dyDescent="0.3">
      <c r="A47" s="64"/>
      <c r="B47" s="65" t="s">
        <v>743</v>
      </c>
      <c r="C47" s="113"/>
      <c r="D47" s="119">
        <v>1200</v>
      </c>
      <c r="E47" s="119"/>
      <c r="F47" s="119">
        <v>1200</v>
      </c>
      <c r="G47" s="336"/>
      <c r="H47" s="340">
        <f t="shared" si="8"/>
        <v>-1200</v>
      </c>
      <c r="I47" s="337">
        <f t="shared" si="12"/>
        <v>-100</v>
      </c>
      <c r="J47" s="819"/>
      <c r="K47" s="340">
        <f t="shared" si="13"/>
        <v>0</v>
      </c>
      <c r="L47" s="353"/>
      <c r="M47" s="810"/>
      <c r="P47" s="102">
        <v>100</v>
      </c>
    </row>
    <row r="48" spans="1:16" s="114" customFormat="1" x14ac:dyDescent="0.3">
      <c r="A48" s="64"/>
      <c r="B48" s="65" t="s">
        <v>744</v>
      </c>
      <c r="C48" s="113"/>
      <c r="D48" s="119">
        <v>300</v>
      </c>
      <c r="E48" s="119"/>
      <c r="F48" s="119">
        <v>300</v>
      </c>
      <c r="G48" s="336"/>
      <c r="H48" s="340">
        <f t="shared" si="8"/>
        <v>-300</v>
      </c>
      <c r="I48" s="337">
        <f t="shared" si="12"/>
        <v>-100</v>
      </c>
      <c r="J48" s="819"/>
      <c r="K48" s="340">
        <f t="shared" si="13"/>
        <v>0</v>
      </c>
      <c r="L48" s="353"/>
      <c r="M48" s="810"/>
      <c r="P48" s="102">
        <v>100</v>
      </c>
    </row>
    <row r="49" spans="1:16" s="114" customFormat="1" x14ac:dyDescent="0.3">
      <c r="A49" s="64"/>
      <c r="B49" s="65" t="s">
        <v>745</v>
      </c>
      <c r="C49" s="113"/>
      <c r="D49" s="119">
        <v>750</v>
      </c>
      <c r="E49" s="119"/>
      <c r="F49" s="119">
        <v>750</v>
      </c>
      <c r="G49" s="336"/>
      <c r="H49" s="340">
        <f t="shared" si="8"/>
        <v>-750</v>
      </c>
      <c r="I49" s="337">
        <f t="shared" si="12"/>
        <v>-100</v>
      </c>
      <c r="J49" s="819"/>
      <c r="K49" s="340">
        <f t="shared" si="13"/>
        <v>0</v>
      </c>
      <c r="L49" s="353"/>
      <c r="M49" s="810"/>
      <c r="P49" s="102">
        <v>100</v>
      </c>
    </row>
    <row r="50" spans="1:16" s="114" customFormat="1" x14ac:dyDescent="0.3">
      <c r="A50" s="64"/>
      <c r="B50" s="65" t="s">
        <v>746</v>
      </c>
      <c r="C50" s="113"/>
      <c r="D50" s="119">
        <v>1000</v>
      </c>
      <c r="E50" s="119"/>
      <c r="F50" s="119">
        <v>1000</v>
      </c>
      <c r="G50" s="336"/>
      <c r="H50" s="340">
        <f t="shared" si="8"/>
        <v>-1000</v>
      </c>
      <c r="I50" s="337">
        <f t="shared" si="12"/>
        <v>-100</v>
      </c>
      <c r="J50" s="819"/>
      <c r="K50" s="340">
        <f t="shared" si="13"/>
        <v>0</v>
      </c>
      <c r="L50" s="353"/>
      <c r="M50" s="810"/>
      <c r="P50" s="102">
        <v>100</v>
      </c>
    </row>
    <row r="51" spans="1:16" s="114" customFormat="1" x14ac:dyDescent="0.3">
      <c r="A51" s="64"/>
      <c r="B51" s="65" t="s">
        <v>747</v>
      </c>
      <c r="C51" s="113"/>
      <c r="D51" s="119">
        <v>1100</v>
      </c>
      <c r="E51" s="119"/>
      <c r="F51" s="119">
        <v>1100</v>
      </c>
      <c r="G51" s="336"/>
      <c r="H51" s="340">
        <f t="shared" si="8"/>
        <v>-1100</v>
      </c>
      <c r="I51" s="337">
        <f t="shared" si="12"/>
        <v>-100</v>
      </c>
      <c r="J51" s="819"/>
      <c r="K51" s="340">
        <f t="shared" si="13"/>
        <v>0</v>
      </c>
      <c r="L51" s="353"/>
      <c r="M51" s="810"/>
      <c r="P51" s="102">
        <v>100</v>
      </c>
    </row>
    <row r="52" spans="1:16" s="114" customFormat="1" x14ac:dyDescent="0.3">
      <c r="A52" s="64"/>
      <c r="B52" s="65" t="s">
        <v>748</v>
      </c>
      <c r="C52" s="113"/>
      <c r="D52" s="119">
        <v>9930</v>
      </c>
      <c r="E52" s="119"/>
      <c r="F52" s="119">
        <v>9930</v>
      </c>
      <c r="G52" s="336">
        <v>9831</v>
      </c>
      <c r="H52" s="340">
        <f t="shared" si="8"/>
        <v>-99</v>
      </c>
      <c r="I52" s="361">
        <f t="shared" si="12"/>
        <v>-0.99697885196374614</v>
      </c>
      <c r="J52" s="819"/>
      <c r="K52" s="340">
        <f t="shared" si="13"/>
        <v>9831</v>
      </c>
      <c r="L52" s="362">
        <f>K52/I52*S52</f>
        <v>0</v>
      </c>
      <c r="M52" s="810"/>
      <c r="P52" s="102">
        <v>100</v>
      </c>
    </row>
    <row r="53" spans="1:16" s="114" customFormat="1" ht="37.5" x14ac:dyDescent="0.3">
      <c r="A53" s="64"/>
      <c r="B53" s="65" t="s">
        <v>749</v>
      </c>
      <c r="C53" s="113"/>
      <c r="D53" s="119">
        <v>80000</v>
      </c>
      <c r="E53" s="119"/>
      <c r="F53" s="119">
        <v>80000</v>
      </c>
      <c r="G53" s="336">
        <f>38396+13470-1993</f>
        <v>49873</v>
      </c>
      <c r="H53" s="340">
        <f t="shared" si="8"/>
        <v>-30127</v>
      </c>
      <c r="I53" s="337">
        <f t="shared" si="12"/>
        <v>-37.658750000000005</v>
      </c>
      <c r="J53" s="819"/>
      <c r="K53" s="340">
        <f t="shared" si="13"/>
        <v>49873</v>
      </c>
      <c r="L53" s="353"/>
      <c r="M53" s="810"/>
      <c r="P53" s="102">
        <v>100</v>
      </c>
    </row>
    <row r="54" spans="1:16" s="114" customFormat="1" ht="56.25" x14ac:dyDescent="0.3">
      <c r="A54" s="64"/>
      <c r="B54" s="65" t="s">
        <v>750</v>
      </c>
      <c r="C54" s="113"/>
      <c r="D54" s="119">
        <v>52000</v>
      </c>
      <c r="E54" s="119"/>
      <c r="F54" s="119">
        <v>52000</v>
      </c>
      <c r="G54" s="336">
        <v>3012</v>
      </c>
      <c r="H54" s="340">
        <f t="shared" si="8"/>
        <v>-48988</v>
      </c>
      <c r="I54" s="337">
        <f t="shared" si="12"/>
        <v>-94.207692307692298</v>
      </c>
      <c r="J54" s="819"/>
      <c r="K54" s="340">
        <f t="shared" si="13"/>
        <v>3012</v>
      </c>
      <c r="L54" s="353"/>
      <c r="M54" s="810"/>
      <c r="P54" s="102">
        <v>100</v>
      </c>
    </row>
    <row r="55" spans="1:16" s="114" customFormat="1" ht="37.5" x14ac:dyDescent="0.3">
      <c r="A55" s="64"/>
      <c r="B55" s="65" t="s">
        <v>751</v>
      </c>
      <c r="C55" s="113"/>
      <c r="D55" s="119">
        <v>41000</v>
      </c>
      <c r="E55" s="119"/>
      <c r="F55" s="119">
        <v>41000</v>
      </c>
      <c r="G55" s="336">
        <f>14505+10261</f>
        <v>24766</v>
      </c>
      <c r="H55" s="340">
        <f t="shared" si="8"/>
        <v>-16234</v>
      </c>
      <c r="I55" s="360">
        <f t="shared" si="12"/>
        <v>-39.595121951219511</v>
      </c>
      <c r="J55" s="819"/>
      <c r="K55" s="340">
        <f t="shared" si="13"/>
        <v>24766</v>
      </c>
      <c r="L55" s="353"/>
      <c r="M55" s="810"/>
      <c r="P55" s="102">
        <v>100</v>
      </c>
    </row>
    <row r="56" spans="1:16" s="114" customFormat="1" ht="56.25" x14ac:dyDescent="0.3">
      <c r="A56" s="64"/>
      <c r="B56" s="65" t="s">
        <v>752</v>
      </c>
      <c r="C56" s="113"/>
      <c r="D56" s="119">
        <v>77000</v>
      </c>
      <c r="E56" s="119"/>
      <c r="F56" s="119">
        <v>77000</v>
      </c>
      <c r="G56" s="336">
        <v>115700</v>
      </c>
      <c r="H56" s="340">
        <f t="shared" si="8"/>
        <v>38700</v>
      </c>
      <c r="I56" s="360">
        <f t="shared" si="12"/>
        <v>50.259740259740262</v>
      </c>
      <c r="J56" s="819"/>
      <c r="K56" s="340">
        <f t="shared" si="13"/>
        <v>115700</v>
      </c>
      <c r="L56" s="353"/>
      <c r="M56" s="810"/>
      <c r="P56" s="102">
        <v>100</v>
      </c>
    </row>
    <row r="57" spans="1:16" s="114" customFormat="1" ht="56.25" x14ac:dyDescent="0.3">
      <c r="A57" s="64"/>
      <c r="B57" s="65" t="s">
        <v>753</v>
      </c>
      <c r="C57" s="113"/>
      <c r="D57" s="119">
        <v>10613</v>
      </c>
      <c r="E57" s="119"/>
      <c r="F57" s="119">
        <v>10613</v>
      </c>
      <c r="G57" s="114">
        <f>4464+5099+1050</f>
        <v>10613</v>
      </c>
      <c r="H57" s="340">
        <f t="shared" si="8"/>
        <v>0</v>
      </c>
      <c r="I57" s="360">
        <f t="shared" si="12"/>
        <v>0</v>
      </c>
      <c r="J57" s="819"/>
      <c r="K57" s="340"/>
      <c r="L57" s="353"/>
      <c r="M57" s="810"/>
      <c r="P57" s="102"/>
    </row>
    <row r="58" spans="1:16" s="114" customFormat="1" ht="75" x14ac:dyDescent="0.3">
      <c r="A58" s="64"/>
      <c r="B58" s="65" t="s">
        <v>851</v>
      </c>
      <c r="C58" s="113"/>
      <c r="D58" s="119">
        <v>99387</v>
      </c>
      <c r="E58" s="119"/>
      <c r="F58" s="119">
        <v>99387</v>
      </c>
      <c r="G58" s="114">
        <v>84398</v>
      </c>
      <c r="H58" s="340"/>
      <c r="I58" s="360"/>
      <c r="J58" s="819"/>
      <c r="K58" s="340"/>
      <c r="L58" s="353"/>
      <c r="M58" s="810"/>
      <c r="P58" s="102"/>
    </row>
    <row r="59" spans="1:16" s="114" customFormat="1" ht="37.5" x14ac:dyDescent="0.3">
      <c r="A59" s="64"/>
      <c r="B59" s="65" t="s">
        <v>754</v>
      </c>
      <c r="C59" s="113"/>
      <c r="D59" s="119">
        <v>30000</v>
      </c>
      <c r="E59" s="119"/>
      <c r="F59" s="119">
        <v>30000</v>
      </c>
      <c r="G59" s="336">
        <f>50699+35881</f>
        <v>86580</v>
      </c>
      <c r="H59" s="340">
        <f t="shared" si="8"/>
        <v>56580</v>
      </c>
      <c r="I59" s="360">
        <f t="shared" ref="I59:I72" si="14">H59/F59*P59</f>
        <v>188.6</v>
      </c>
      <c r="J59" s="819"/>
      <c r="K59" s="340">
        <f>G59-E59</f>
        <v>86580</v>
      </c>
      <c r="L59" s="353"/>
      <c r="M59" s="810"/>
      <c r="P59" s="102">
        <v>100</v>
      </c>
    </row>
    <row r="60" spans="1:16" s="114" customFormat="1" ht="37.5" x14ac:dyDescent="0.3">
      <c r="A60" s="64"/>
      <c r="B60" s="65" t="s">
        <v>755</v>
      </c>
      <c r="C60" s="113"/>
      <c r="D60" s="119">
        <v>50000</v>
      </c>
      <c r="E60" s="119"/>
      <c r="F60" s="119">
        <v>50000</v>
      </c>
      <c r="G60" s="336">
        <f>21106+841+20625</f>
        <v>42572</v>
      </c>
      <c r="H60" s="340">
        <f t="shared" si="8"/>
        <v>-7428</v>
      </c>
      <c r="I60" s="360">
        <f t="shared" si="14"/>
        <v>-14.856</v>
      </c>
      <c r="J60" s="819"/>
      <c r="K60" s="340">
        <f>G60-E60</f>
        <v>42572</v>
      </c>
      <c r="L60" s="353"/>
      <c r="M60" s="810"/>
      <c r="P60" s="102">
        <v>100</v>
      </c>
    </row>
    <row r="61" spans="1:16" s="114" customFormat="1" x14ac:dyDescent="0.3">
      <c r="A61" s="64"/>
      <c r="B61" s="65" t="s">
        <v>756</v>
      </c>
      <c r="C61" s="113"/>
      <c r="D61" s="119">
        <v>10000</v>
      </c>
      <c r="E61" s="119"/>
      <c r="F61" s="119">
        <v>10000</v>
      </c>
      <c r="G61" s="336"/>
      <c r="H61" s="340">
        <f t="shared" si="8"/>
        <v>-10000</v>
      </c>
      <c r="I61" s="360">
        <f t="shared" si="14"/>
        <v>-100</v>
      </c>
      <c r="J61" s="819"/>
      <c r="K61" s="340">
        <f>G61-E61</f>
        <v>0</v>
      </c>
      <c r="L61" s="353"/>
      <c r="M61" s="810"/>
      <c r="P61" s="102">
        <v>100</v>
      </c>
    </row>
    <row r="62" spans="1:16" s="114" customFormat="1" ht="37.5" x14ac:dyDescent="0.3">
      <c r="A62" s="64"/>
      <c r="B62" s="65" t="s">
        <v>757</v>
      </c>
      <c r="C62" s="113"/>
      <c r="D62" s="119">
        <v>80000</v>
      </c>
      <c r="E62" s="119"/>
      <c r="F62" s="119">
        <v>80000</v>
      </c>
      <c r="G62" s="336">
        <f>6655+7940+3411+7392+56108</f>
        <v>81506</v>
      </c>
      <c r="H62" s="340">
        <f t="shared" si="8"/>
        <v>1506</v>
      </c>
      <c r="I62" s="360">
        <f t="shared" si="14"/>
        <v>1.8825000000000001</v>
      </c>
      <c r="J62" s="819"/>
      <c r="K62" s="340">
        <f>G62-E62</f>
        <v>81506</v>
      </c>
      <c r="L62" s="353"/>
      <c r="M62" s="810"/>
      <c r="P62" s="102">
        <v>100</v>
      </c>
    </row>
    <row r="63" spans="1:16" s="114" customFormat="1" x14ac:dyDescent="0.3">
      <c r="A63" s="64"/>
      <c r="B63" s="65" t="s">
        <v>758</v>
      </c>
      <c r="C63" s="113"/>
      <c r="D63" s="119">
        <v>60000</v>
      </c>
      <c r="E63" s="119"/>
      <c r="F63" s="119">
        <v>60000</v>
      </c>
      <c r="G63" s="119">
        <f>31980+16459+68704</f>
        <v>117143</v>
      </c>
      <c r="H63" s="340">
        <f t="shared" si="8"/>
        <v>57143</v>
      </c>
      <c r="I63" s="360">
        <f t="shared" si="14"/>
        <v>95.23833333333333</v>
      </c>
      <c r="J63" s="819"/>
      <c r="K63" s="340" t="e">
        <f>#REF!-E63</f>
        <v>#REF!</v>
      </c>
      <c r="L63" s="353"/>
      <c r="M63" s="810"/>
      <c r="P63" s="102">
        <v>100</v>
      </c>
    </row>
    <row r="64" spans="1:16" s="114" customFormat="1" ht="37.5" x14ac:dyDescent="0.3">
      <c r="A64" s="64"/>
      <c r="B64" s="65" t="s">
        <v>759</v>
      </c>
      <c r="C64" s="113"/>
      <c r="D64" s="119">
        <v>37000</v>
      </c>
      <c r="E64" s="119"/>
      <c r="F64" s="119">
        <v>37000</v>
      </c>
      <c r="G64" s="119">
        <v>10043</v>
      </c>
      <c r="H64" s="340">
        <f t="shared" si="8"/>
        <v>-26957</v>
      </c>
      <c r="I64" s="360">
        <f t="shared" si="14"/>
        <v>-72.856756756756752</v>
      </c>
      <c r="J64" s="819"/>
      <c r="K64" s="340" t="e">
        <f>#REF!-E64</f>
        <v>#REF!</v>
      </c>
      <c r="L64" s="353"/>
      <c r="M64" s="810"/>
      <c r="P64" s="102">
        <v>100</v>
      </c>
    </row>
    <row r="65" spans="1:16" s="114" customFormat="1" ht="37.5" x14ac:dyDescent="0.3">
      <c r="A65" s="64"/>
      <c r="B65" s="65" t="s">
        <v>853</v>
      </c>
      <c r="C65" s="113"/>
      <c r="D65" s="119">
        <v>10000</v>
      </c>
      <c r="E65" s="119"/>
      <c r="F65" s="119">
        <v>10000</v>
      </c>
      <c r="G65" s="336">
        <v>7272</v>
      </c>
      <c r="H65" s="340">
        <f t="shared" si="8"/>
        <v>-2728</v>
      </c>
      <c r="I65" s="360">
        <f t="shared" si="14"/>
        <v>-27.279999999999998</v>
      </c>
      <c r="J65" s="819"/>
      <c r="K65" s="340">
        <f t="shared" ref="K65:K72" si="15">G65-E65</f>
        <v>7272</v>
      </c>
      <c r="L65" s="353"/>
      <c r="M65" s="810"/>
      <c r="P65" s="102">
        <v>100</v>
      </c>
    </row>
    <row r="66" spans="1:16" s="114" customFormat="1" ht="37.5" x14ac:dyDescent="0.3">
      <c r="A66" s="64"/>
      <c r="B66" s="65" t="s">
        <v>760</v>
      </c>
      <c r="C66" s="113"/>
      <c r="D66" s="119">
        <v>35000</v>
      </c>
      <c r="E66" s="119"/>
      <c r="F66" s="119">
        <v>35000</v>
      </c>
      <c r="G66" s="336"/>
      <c r="H66" s="340">
        <f t="shared" si="8"/>
        <v>-35000</v>
      </c>
      <c r="I66" s="360">
        <f t="shared" si="14"/>
        <v>-100</v>
      </c>
      <c r="J66" s="819"/>
      <c r="K66" s="340">
        <f t="shared" si="15"/>
        <v>0</v>
      </c>
      <c r="L66" s="353"/>
      <c r="M66" s="810"/>
      <c r="P66" s="102">
        <v>100</v>
      </c>
    </row>
    <row r="67" spans="1:16" s="114" customFormat="1" ht="37.5" x14ac:dyDescent="0.3">
      <c r="A67" s="64"/>
      <c r="B67" s="65" t="s">
        <v>761</v>
      </c>
      <c r="C67" s="113"/>
      <c r="D67" s="119">
        <v>5000</v>
      </c>
      <c r="E67" s="119"/>
      <c r="F67" s="119">
        <v>5000</v>
      </c>
      <c r="G67" s="336"/>
      <c r="H67" s="340">
        <f t="shared" si="8"/>
        <v>-5000</v>
      </c>
      <c r="I67" s="337">
        <f t="shared" si="14"/>
        <v>-100</v>
      </c>
      <c r="J67" s="819"/>
      <c r="K67" s="340">
        <f t="shared" si="15"/>
        <v>0</v>
      </c>
      <c r="L67" s="353"/>
      <c r="M67" s="810"/>
      <c r="P67" s="102">
        <v>100</v>
      </c>
    </row>
    <row r="68" spans="1:16" s="114" customFormat="1" ht="37.5" x14ac:dyDescent="0.3">
      <c r="A68" s="64"/>
      <c r="B68" s="65" t="s">
        <v>647</v>
      </c>
      <c r="C68" s="113"/>
      <c r="D68" s="119">
        <v>3000</v>
      </c>
      <c r="E68" s="119"/>
      <c r="F68" s="119">
        <v>3000</v>
      </c>
      <c r="G68" s="336"/>
      <c r="H68" s="340">
        <f t="shared" si="8"/>
        <v>-3000</v>
      </c>
      <c r="I68" s="337">
        <f t="shared" si="14"/>
        <v>-100</v>
      </c>
      <c r="J68" s="819"/>
      <c r="K68" s="340">
        <f t="shared" si="15"/>
        <v>0</v>
      </c>
      <c r="L68" s="353"/>
      <c r="M68" s="810"/>
      <c r="P68" s="102">
        <v>100</v>
      </c>
    </row>
    <row r="69" spans="1:16" s="114" customFormat="1" x14ac:dyDescent="0.3">
      <c r="A69" s="64"/>
      <c r="B69" s="65" t="s">
        <v>762</v>
      </c>
      <c r="C69" s="113"/>
      <c r="D69" s="119">
        <v>50000</v>
      </c>
      <c r="E69" s="119"/>
      <c r="F69" s="119">
        <v>50000</v>
      </c>
      <c r="G69" s="336">
        <v>7089</v>
      </c>
      <c r="H69" s="340">
        <f t="shared" si="8"/>
        <v>-42911</v>
      </c>
      <c r="I69" s="337">
        <f t="shared" si="14"/>
        <v>-85.822000000000003</v>
      </c>
      <c r="J69" s="819"/>
      <c r="K69" s="340">
        <f t="shared" si="15"/>
        <v>7089</v>
      </c>
      <c r="L69" s="353"/>
      <c r="M69" s="810"/>
      <c r="P69" s="102">
        <v>100</v>
      </c>
    </row>
    <row r="70" spans="1:16" s="114" customFormat="1" ht="56.25" x14ac:dyDescent="0.3">
      <c r="A70" s="64"/>
      <c r="B70" s="65" t="s">
        <v>852</v>
      </c>
      <c r="C70" s="113"/>
      <c r="D70" s="119">
        <v>12000</v>
      </c>
      <c r="E70" s="119"/>
      <c r="F70" s="119">
        <v>12000</v>
      </c>
      <c r="G70" s="336">
        <f>11435-4296</f>
        <v>7139</v>
      </c>
      <c r="H70" s="340">
        <f t="shared" si="8"/>
        <v>-4861</v>
      </c>
      <c r="I70" s="337">
        <f t="shared" si="14"/>
        <v>-40.508333333333333</v>
      </c>
      <c r="J70" s="819"/>
      <c r="K70" s="340">
        <f t="shared" si="15"/>
        <v>7139</v>
      </c>
      <c r="L70" s="353"/>
      <c r="M70" s="810"/>
      <c r="P70" s="102">
        <v>100</v>
      </c>
    </row>
    <row r="71" spans="1:16" s="114" customFormat="1" ht="37.5" x14ac:dyDescent="0.3">
      <c r="A71" s="64"/>
      <c r="B71" s="65" t="s">
        <v>763</v>
      </c>
      <c r="C71" s="113"/>
      <c r="D71" s="119">
        <v>66000</v>
      </c>
      <c r="E71" s="119"/>
      <c r="F71" s="119">
        <v>66000</v>
      </c>
      <c r="G71" s="336"/>
      <c r="H71" s="340">
        <f t="shared" si="8"/>
        <v>-66000</v>
      </c>
      <c r="I71" s="337">
        <f t="shared" si="14"/>
        <v>-100</v>
      </c>
      <c r="J71" s="819"/>
      <c r="K71" s="340">
        <f t="shared" si="15"/>
        <v>0</v>
      </c>
      <c r="L71" s="353"/>
      <c r="M71" s="810"/>
      <c r="P71" s="102">
        <v>100</v>
      </c>
    </row>
    <row r="72" spans="1:16" s="114" customFormat="1" ht="42.75" customHeight="1" x14ac:dyDescent="0.3">
      <c r="A72" s="64"/>
      <c r="B72" s="490" t="s">
        <v>778</v>
      </c>
      <c r="C72" s="113"/>
      <c r="D72" s="119"/>
      <c r="E72" s="119"/>
      <c r="F72" s="119"/>
      <c r="G72" s="336">
        <v>10285</v>
      </c>
      <c r="H72" s="340">
        <f t="shared" si="8"/>
        <v>10285</v>
      </c>
      <c r="I72" s="337" t="e">
        <f t="shared" si="14"/>
        <v>#DIV/0!</v>
      </c>
      <c r="J72" s="819"/>
      <c r="K72" s="340">
        <f t="shared" si="15"/>
        <v>10285</v>
      </c>
      <c r="L72" s="353"/>
      <c r="M72" s="810"/>
      <c r="P72" s="102">
        <v>100</v>
      </c>
    </row>
    <row r="73" spans="1:16" s="114" customFormat="1" ht="42.75" customHeight="1" x14ac:dyDescent="0.3">
      <c r="A73" s="491"/>
      <c r="B73" s="492" t="s">
        <v>789</v>
      </c>
      <c r="C73" s="113"/>
      <c r="D73" s="119"/>
      <c r="E73" s="119"/>
      <c r="F73" s="119">
        <v>0</v>
      </c>
      <c r="G73" s="336">
        <v>13068</v>
      </c>
      <c r="H73" s="340"/>
      <c r="I73" s="337"/>
      <c r="J73" s="819"/>
      <c r="K73" s="340"/>
      <c r="L73" s="353"/>
      <c r="M73" s="810"/>
      <c r="P73" s="102"/>
    </row>
    <row r="74" spans="1:16" s="114" customFormat="1" x14ac:dyDescent="0.3">
      <c r="A74" s="64"/>
      <c r="B74" s="114" t="s">
        <v>779</v>
      </c>
      <c r="C74" s="113"/>
      <c r="D74" s="119"/>
      <c r="E74" s="119"/>
      <c r="F74" s="119"/>
      <c r="G74" s="500">
        <v>694</v>
      </c>
      <c r="H74" s="340"/>
      <c r="I74" s="337"/>
      <c r="J74" s="819"/>
      <c r="K74" s="340"/>
      <c r="L74" s="353"/>
      <c r="M74" s="810"/>
      <c r="P74" s="102"/>
    </row>
    <row r="75" spans="1:16" s="114" customFormat="1" ht="42.75" customHeight="1" x14ac:dyDescent="0.3">
      <c r="A75" s="64"/>
      <c r="B75" s="65"/>
      <c r="C75" s="113"/>
      <c r="D75" s="119"/>
      <c r="E75" s="119"/>
      <c r="F75" s="119"/>
      <c r="G75" s="501"/>
      <c r="H75" s="340"/>
      <c r="I75" s="337"/>
      <c r="J75" s="819"/>
      <c r="K75" s="340"/>
      <c r="L75" s="353"/>
      <c r="M75" s="810"/>
      <c r="P75" s="102"/>
    </row>
    <row r="76" spans="1:16" ht="37.5" x14ac:dyDescent="0.3">
      <c r="A76" s="117">
        <v>53120</v>
      </c>
      <c r="B76" s="328" t="s">
        <v>298</v>
      </c>
      <c r="C76" s="110">
        <v>23353</v>
      </c>
      <c r="D76" s="110">
        <f ca="1">SUM(OFFSET(D79,-1,0):OFFSET(D76,1,0))</f>
        <v>0</v>
      </c>
      <c r="E76" s="110">
        <v>23353</v>
      </c>
      <c r="F76" s="110">
        <v>0</v>
      </c>
      <c r="G76" s="335">
        <v>0</v>
      </c>
      <c r="H76" s="340">
        <f t="shared" ref="H76:H83" si="16">G76-F76</f>
        <v>0</v>
      </c>
      <c r="I76" s="337" t="e">
        <f>H76/F76*P76</f>
        <v>#DIV/0!</v>
      </c>
      <c r="J76" s="819"/>
      <c r="K76" s="340">
        <f t="shared" ref="K76:K83" si="17">G76-E76</f>
        <v>-23353</v>
      </c>
      <c r="L76" s="337"/>
      <c r="M76" s="810"/>
      <c r="P76" s="102">
        <v>100</v>
      </c>
    </row>
    <row r="77" spans="1:16" s="114" customFormat="1" ht="18.75" customHeight="1" x14ac:dyDescent="0.3">
      <c r="A77" s="64"/>
      <c r="B77" s="65"/>
      <c r="C77" s="113"/>
      <c r="D77" s="119"/>
      <c r="E77" s="119"/>
      <c r="F77" s="119"/>
      <c r="G77" s="336"/>
      <c r="H77" s="340">
        <f t="shared" si="16"/>
        <v>0</v>
      </c>
      <c r="I77" s="337" t="e">
        <f>H77/F77*P77</f>
        <v>#DIV/0!</v>
      </c>
      <c r="J77" s="819"/>
      <c r="K77" s="340">
        <f t="shared" si="17"/>
        <v>0</v>
      </c>
      <c r="L77" s="353"/>
      <c r="M77" s="810"/>
      <c r="P77" s="102">
        <v>100</v>
      </c>
    </row>
    <row r="78" spans="1:16" s="114" customFormat="1" x14ac:dyDescent="0.3">
      <c r="A78" s="64"/>
      <c r="B78" s="65"/>
      <c r="C78" s="113"/>
      <c r="D78" s="119"/>
      <c r="E78" s="119"/>
      <c r="F78" s="119"/>
      <c r="G78" s="336"/>
      <c r="H78" s="340">
        <f t="shared" si="16"/>
        <v>0</v>
      </c>
      <c r="I78" s="337" t="e">
        <f>H78/F78*P78</f>
        <v>#DIV/0!</v>
      </c>
      <c r="J78" s="819"/>
      <c r="K78" s="340">
        <f t="shared" si="17"/>
        <v>0</v>
      </c>
      <c r="L78" s="353"/>
      <c r="M78" s="810"/>
      <c r="P78" s="102">
        <v>100</v>
      </c>
    </row>
    <row r="79" spans="1:16" ht="22.5" x14ac:dyDescent="0.3">
      <c r="A79" s="338">
        <v>53200</v>
      </c>
      <c r="B79" s="339" t="s">
        <v>556</v>
      </c>
      <c r="C79" s="654">
        <f ca="1">SUM(OFFSET(C82,-1,0):OFFSET(C79,1,0))</f>
        <v>0</v>
      </c>
      <c r="D79" s="654">
        <f ca="1">SUM(OFFSET(D82,-1,0):OFFSET(D79,1,0))</f>
        <v>0</v>
      </c>
      <c r="E79" s="654">
        <v>0</v>
      </c>
      <c r="F79" s="654">
        <v>0</v>
      </c>
      <c r="G79" s="496">
        <v>0</v>
      </c>
      <c r="H79" s="340">
        <f t="shared" si="16"/>
        <v>0</v>
      </c>
      <c r="I79" s="337" t="str">
        <f t="shared" ref="I79" si="18">IFERROR(H79/ABS(F79), "-")</f>
        <v>-</v>
      </c>
      <c r="J79" s="819"/>
      <c r="K79" s="340">
        <f t="shared" si="17"/>
        <v>0</v>
      </c>
      <c r="L79" s="337" t="str">
        <f t="shared" ref="L79" si="19">IFERROR(K79/ABS(E79), "-")</f>
        <v>-</v>
      </c>
      <c r="M79" s="810"/>
      <c r="P79" s="102">
        <v>100</v>
      </c>
    </row>
    <row r="80" spans="1:16" s="114" customFormat="1" ht="18.75" customHeight="1" x14ac:dyDescent="0.3">
      <c r="A80" s="64"/>
      <c r="B80" s="329"/>
      <c r="C80" s="113"/>
      <c r="D80" s="119"/>
      <c r="E80" s="119"/>
      <c r="F80" s="119"/>
      <c r="G80" s="336"/>
      <c r="H80" s="340">
        <f t="shared" si="16"/>
        <v>0</v>
      </c>
      <c r="I80" s="337" t="e">
        <f>H80/F80*P80</f>
        <v>#DIV/0!</v>
      </c>
      <c r="J80" s="819"/>
      <c r="K80" s="340">
        <f t="shared" si="17"/>
        <v>0</v>
      </c>
      <c r="L80" s="353"/>
      <c r="M80" s="810"/>
      <c r="P80" s="102">
        <v>100</v>
      </c>
    </row>
    <row r="81" spans="1:16" s="114" customFormat="1" x14ac:dyDescent="0.3">
      <c r="A81" s="64"/>
      <c r="B81" s="329"/>
      <c r="C81" s="113"/>
      <c r="D81" s="119"/>
      <c r="E81" s="119"/>
      <c r="F81" s="119"/>
      <c r="G81" s="336"/>
      <c r="H81" s="340">
        <f t="shared" si="16"/>
        <v>0</v>
      </c>
      <c r="I81" s="337" t="e">
        <f>H81/F81*P81</f>
        <v>#DIV/0!</v>
      </c>
      <c r="J81" s="819"/>
      <c r="K81" s="340">
        <f t="shared" si="17"/>
        <v>0</v>
      </c>
      <c r="L81" s="353"/>
      <c r="M81" s="810"/>
      <c r="P81" s="102">
        <v>100</v>
      </c>
    </row>
    <row r="82" spans="1:16" ht="22.5" x14ac:dyDescent="0.3">
      <c r="A82" s="338">
        <v>53300</v>
      </c>
      <c r="B82" s="339" t="s">
        <v>557</v>
      </c>
      <c r="C82" s="654">
        <v>40488</v>
      </c>
      <c r="D82" s="654">
        <f ca="1">SUM(OFFSET(D88,-1,0):OFFSET(D82,1,0))</f>
        <v>0</v>
      </c>
      <c r="E82" s="654">
        <v>40488</v>
      </c>
      <c r="F82" s="654">
        <v>0</v>
      </c>
      <c r="G82" s="499">
        <f>G84+G85+G86</f>
        <v>8017</v>
      </c>
      <c r="H82" s="340">
        <f t="shared" si="16"/>
        <v>8017</v>
      </c>
      <c r="I82" s="337" t="str">
        <f t="shared" ref="I82" si="20">IFERROR(H82/ABS(F82), "-")</f>
        <v>-</v>
      </c>
      <c r="J82" s="819"/>
      <c r="K82" s="340">
        <f t="shared" si="17"/>
        <v>-32471</v>
      </c>
      <c r="L82" s="360">
        <f t="shared" ref="L82" si="21">IFERROR(K82/ABS(E82), "-")</f>
        <v>-0.80199071329776728</v>
      </c>
      <c r="M82" s="810"/>
      <c r="P82" s="102">
        <v>100</v>
      </c>
    </row>
    <row r="83" spans="1:16" s="114" customFormat="1" ht="18.75" customHeight="1" x14ac:dyDescent="0.3">
      <c r="A83" s="64"/>
      <c r="B83" s="329"/>
      <c r="C83" s="113"/>
      <c r="D83" s="119"/>
      <c r="E83" s="119"/>
      <c r="F83" s="119"/>
      <c r="G83" s="336"/>
      <c r="H83" s="340">
        <f t="shared" si="16"/>
        <v>0</v>
      </c>
      <c r="I83" s="337" t="e">
        <f>H83/F83*P83</f>
        <v>#DIV/0!</v>
      </c>
      <c r="J83" s="819"/>
      <c r="K83" s="340">
        <f t="shared" si="17"/>
        <v>0</v>
      </c>
      <c r="L83" s="353"/>
      <c r="M83" s="810"/>
      <c r="P83" s="102">
        <v>100</v>
      </c>
    </row>
    <row r="84" spans="1:16" s="114" customFormat="1" x14ac:dyDescent="0.3">
      <c r="A84" s="64"/>
      <c r="B84" s="363" t="s">
        <v>780</v>
      </c>
      <c r="C84" s="113"/>
      <c r="D84" s="119"/>
      <c r="E84" s="119"/>
      <c r="F84" s="119"/>
      <c r="G84" s="114">
        <v>3875</v>
      </c>
      <c r="H84" s="340"/>
      <c r="I84" s="337"/>
      <c r="J84" s="819"/>
      <c r="K84" s="340"/>
      <c r="L84" s="353"/>
      <c r="M84" s="810"/>
      <c r="P84" s="102"/>
    </row>
    <row r="85" spans="1:16" s="114" customFormat="1" x14ac:dyDescent="0.3">
      <c r="A85" s="64"/>
      <c r="B85" s="119" t="s">
        <v>781</v>
      </c>
      <c r="C85" s="113"/>
      <c r="D85" s="119"/>
      <c r="E85" s="119"/>
      <c r="F85" s="119"/>
      <c r="G85" s="502">
        <v>1262</v>
      </c>
      <c r="H85" s="340"/>
      <c r="I85" s="337"/>
      <c r="J85" s="819"/>
      <c r="K85" s="340"/>
      <c r="L85" s="353"/>
      <c r="M85" s="810"/>
      <c r="P85" s="102"/>
    </row>
    <row r="86" spans="1:16" s="114" customFormat="1" x14ac:dyDescent="0.3">
      <c r="A86" s="64"/>
      <c r="B86" s="653" t="s">
        <v>855</v>
      </c>
      <c r="C86" s="113"/>
      <c r="D86" s="119"/>
      <c r="E86" s="119"/>
      <c r="F86" s="119"/>
      <c r="G86" s="336">
        <v>2880</v>
      </c>
      <c r="H86" s="340"/>
      <c r="I86" s="337"/>
      <c r="J86" s="819"/>
      <c r="K86" s="340"/>
      <c r="L86" s="353"/>
      <c r="M86" s="810"/>
      <c r="P86" s="102"/>
    </row>
    <row r="87" spans="1:16" s="114" customFormat="1" x14ac:dyDescent="0.3">
      <c r="A87" s="64"/>
      <c r="B87" s="329"/>
      <c r="C87" s="113"/>
      <c r="D87" s="119"/>
      <c r="E87" s="119"/>
      <c r="F87" s="119"/>
      <c r="G87" s="336"/>
      <c r="H87" s="340">
        <f>G87-F87</f>
        <v>0</v>
      </c>
      <c r="I87" s="337" t="e">
        <f>H87/F87*P87</f>
        <v>#DIV/0!</v>
      </c>
      <c r="J87" s="819"/>
      <c r="K87" s="340">
        <f>G87-E87</f>
        <v>0</v>
      </c>
      <c r="L87" s="353"/>
      <c r="M87" s="810"/>
      <c r="P87" s="102">
        <v>100</v>
      </c>
    </row>
    <row r="88" spans="1:16" ht="41.25" x14ac:dyDescent="0.3">
      <c r="A88" s="338">
        <v>53400</v>
      </c>
      <c r="B88" s="339" t="s">
        <v>558</v>
      </c>
      <c r="C88" s="654">
        <v>27080</v>
      </c>
      <c r="D88" s="654">
        <f>SUM(D89:D95)</f>
        <v>21950</v>
      </c>
      <c r="E88" s="654">
        <v>27080</v>
      </c>
      <c r="F88" s="654">
        <f t="shared" ref="F88" si="22">SUM(F89:F95)</f>
        <v>21950</v>
      </c>
      <c r="G88" s="499">
        <f>G90+G91+G92+G93+G94+G95+G96+G97</f>
        <v>44907</v>
      </c>
      <c r="H88" s="340">
        <f>G88-F88</f>
        <v>22957</v>
      </c>
      <c r="I88" s="360">
        <f t="shared" ref="I88" si="23">IFERROR(H88/ABS(F88), "-")</f>
        <v>1.045876993166287</v>
      </c>
      <c r="J88" s="819"/>
      <c r="K88" s="340">
        <f>G88-E88</f>
        <v>17827</v>
      </c>
      <c r="L88" s="360">
        <f t="shared" ref="L88" si="24">IFERROR(K88/ABS(E88), "-")</f>
        <v>0.6583087149187592</v>
      </c>
      <c r="M88" s="810"/>
      <c r="P88" s="102">
        <v>100</v>
      </c>
    </row>
    <row r="89" spans="1:16" s="114" customFormat="1" x14ac:dyDescent="0.3">
      <c r="A89" s="64"/>
      <c r="B89" s="329" t="s">
        <v>764</v>
      </c>
      <c r="C89" s="113"/>
      <c r="D89" s="119"/>
      <c r="E89" s="119"/>
      <c r="F89" s="119"/>
      <c r="G89" s="336"/>
      <c r="H89" s="340">
        <f>G89-F89</f>
        <v>0</v>
      </c>
      <c r="I89" s="337" t="e">
        <f>H89/F89*P89</f>
        <v>#DIV/0!</v>
      </c>
      <c r="J89" s="819"/>
      <c r="K89" s="340">
        <f>G89-E89</f>
        <v>0</v>
      </c>
      <c r="L89" s="353"/>
      <c r="M89" s="810"/>
      <c r="P89" s="102">
        <v>100</v>
      </c>
    </row>
    <row r="90" spans="1:16" s="114" customFormat="1" x14ac:dyDescent="0.3">
      <c r="A90" s="64"/>
      <c r="B90" s="329" t="s">
        <v>782</v>
      </c>
      <c r="C90" s="113"/>
      <c r="D90" s="119"/>
      <c r="E90" s="119"/>
      <c r="F90" s="119"/>
      <c r="G90" s="336">
        <f>830+375+637</f>
        <v>1842</v>
      </c>
      <c r="H90" s="340"/>
      <c r="I90" s="337"/>
      <c r="J90" s="819"/>
      <c r="K90" s="340"/>
      <c r="L90" s="353"/>
      <c r="M90" s="810"/>
      <c r="P90" s="102"/>
    </row>
    <row r="91" spans="1:16" s="114" customFormat="1" x14ac:dyDescent="0.3">
      <c r="A91" s="64"/>
      <c r="B91" s="329" t="s">
        <v>783</v>
      </c>
      <c r="C91" s="113"/>
      <c r="D91" s="119"/>
      <c r="E91" s="119"/>
      <c r="F91" s="119">
        <v>0</v>
      </c>
      <c r="G91" s="336">
        <v>1250</v>
      </c>
      <c r="H91" s="340"/>
      <c r="I91" s="337"/>
      <c r="J91" s="819"/>
      <c r="K91" s="340"/>
      <c r="L91" s="353"/>
      <c r="M91" s="810"/>
      <c r="P91" s="102"/>
    </row>
    <row r="92" spans="1:16" s="114" customFormat="1" x14ac:dyDescent="0.3">
      <c r="A92" s="64"/>
      <c r="B92" s="329" t="s">
        <v>765</v>
      </c>
      <c r="C92" s="113"/>
      <c r="D92" s="119">
        <v>5700</v>
      </c>
      <c r="E92" s="119"/>
      <c r="F92" s="119">
        <v>5700</v>
      </c>
      <c r="G92" s="336"/>
      <c r="H92" s="340">
        <f>G92-F92</f>
        <v>-5700</v>
      </c>
      <c r="I92" s="337">
        <f>H92/F92*P92</f>
        <v>-100</v>
      </c>
      <c r="J92" s="819"/>
      <c r="K92" s="340">
        <f>G92-E92</f>
        <v>0</v>
      </c>
      <c r="L92" s="353"/>
      <c r="M92" s="810"/>
      <c r="P92" s="102">
        <v>100</v>
      </c>
    </row>
    <row r="93" spans="1:16" s="114" customFormat="1" x14ac:dyDescent="0.3">
      <c r="A93" s="64"/>
      <c r="B93" s="329" t="s">
        <v>784</v>
      </c>
      <c r="C93" s="113"/>
      <c r="D93" s="119">
        <v>3850</v>
      </c>
      <c r="E93" s="119"/>
      <c r="F93" s="119">
        <v>3850</v>
      </c>
      <c r="G93" s="336">
        <f>7191+7861</f>
        <v>15052</v>
      </c>
      <c r="H93" s="340">
        <f>G93-F93</f>
        <v>11202</v>
      </c>
      <c r="I93" s="360">
        <f>H93/F93*P93</f>
        <v>290.96103896103898</v>
      </c>
      <c r="J93" s="819"/>
      <c r="K93" s="340">
        <f>G93-E93</f>
        <v>15052</v>
      </c>
      <c r="L93" s="353"/>
      <c r="M93" s="810"/>
      <c r="P93" s="102">
        <v>100</v>
      </c>
    </row>
    <row r="94" spans="1:16" s="114" customFormat="1" x14ac:dyDescent="0.3">
      <c r="A94" s="64"/>
      <c r="B94" s="329" t="s">
        <v>766</v>
      </c>
      <c r="C94" s="113"/>
      <c r="D94" s="119">
        <v>6000</v>
      </c>
      <c r="E94" s="119"/>
      <c r="F94" s="119">
        <v>6000</v>
      </c>
      <c r="G94" s="336"/>
      <c r="H94" s="340">
        <f>G94-F94</f>
        <v>-6000</v>
      </c>
      <c r="I94" s="337">
        <f>H94/F94*P94</f>
        <v>-100</v>
      </c>
      <c r="J94" s="819"/>
      <c r="K94" s="340">
        <f>G94-E94</f>
        <v>0</v>
      </c>
      <c r="L94" s="353"/>
      <c r="M94" s="810"/>
      <c r="P94" s="102">
        <v>100</v>
      </c>
    </row>
    <row r="95" spans="1:16" s="114" customFormat="1" x14ac:dyDescent="0.3">
      <c r="A95" s="330"/>
      <c r="B95" s="331" t="s">
        <v>767</v>
      </c>
      <c r="C95" s="354">
        <v>0</v>
      </c>
      <c r="D95" s="355">
        <v>6400</v>
      </c>
      <c r="E95" s="355"/>
      <c r="F95" s="355">
        <v>6400</v>
      </c>
      <c r="G95" s="336">
        <f>1525</f>
        <v>1525</v>
      </c>
      <c r="H95" s="340"/>
      <c r="I95" s="337"/>
      <c r="J95" s="819"/>
      <c r="K95" s="340"/>
      <c r="L95" s="353"/>
      <c r="M95" s="810"/>
      <c r="P95" s="102"/>
    </row>
    <row r="96" spans="1:16" s="114" customFormat="1" x14ac:dyDescent="0.3">
      <c r="A96" s="62"/>
      <c r="B96" s="336" t="s">
        <v>790</v>
      </c>
      <c r="C96" s="113"/>
      <c r="D96" s="119"/>
      <c r="E96" s="119"/>
      <c r="F96" s="119"/>
      <c r="G96" s="336">
        <v>20640</v>
      </c>
      <c r="H96" s="340"/>
      <c r="I96" s="337"/>
      <c r="J96" s="819"/>
      <c r="K96" s="340"/>
      <c r="L96" s="353"/>
      <c r="M96" s="810"/>
      <c r="P96" s="102"/>
    </row>
    <row r="97" spans="1:16" s="114" customFormat="1" x14ac:dyDescent="0.3">
      <c r="A97" s="62"/>
      <c r="B97" s="336" t="s">
        <v>791</v>
      </c>
      <c r="C97" s="113"/>
      <c r="D97" s="119"/>
      <c r="E97" s="119"/>
      <c r="F97" s="119"/>
      <c r="G97" s="336">
        <f>3194+1404</f>
        <v>4598</v>
      </c>
      <c r="H97" s="340"/>
      <c r="I97" s="337"/>
      <c r="J97" s="819"/>
      <c r="K97" s="340"/>
      <c r="L97" s="353"/>
      <c r="M97" s="810"/>
      <c r="P97" s="102"/>
    </row>
    <row r="98" spans="1:16" s="114" customFormat="1" x14ac:dyDescent="0.3">
      <c r="A98" s="62"/>
      <c r="B98" s="63" t="s">
        <v>785</v>
      </c>
      <c r="C98" s="113"/>
      <c r="D98" s="119"/>
      <c r="E98" s="119"/>
      <c r="F98" s="119"/>
      <c r="G98" s="336"/>
      <c r="H98" s="340"/>
      <c r="I98" s="337"/>
      <c r="J98" s="820"/>
      <c r="K98" s="340"/>
      <c r="L98" s="353"/>
      <c r="M98" s="811"/>
      <c r="P98" s="102"/>
    </row>
    <row r="99" spans="1:16" ht="41.25" x14ac:dyDescent="0.3">
      <c r="A99" s="364">
        <v>53500</v>
      </c>
      <c r="B99" s="365" t="s">
        <v>559</v>
      </c>
      <c r="C99" s="366">
        <f ca="1">SUM(OFFSET(C102,-1,0):OFFSET(C99,1,0))</f>
        <v>0</v>
      </c>
      <c r="D99" s="366">
        <f ca="1">SUM(OFFSET(D102,-1,0):OFFSET(D99,1,0))</f>
        <v>0</v>
      </c>
      <c r="E99" s="366"/>
      <c r="F99" s="366">
        <f ca="1">SUM(OFFSET(F102,-1,0):OFFSET(F99,1,0))</f>
        <v>0</v>
      </c>
      <c r="G99" s="335"/>
      <c r="H99" s="340">
        <f t="shared" ref="H99:H105" ca="1" si="25">G99-F99</f>
        <v>0</v>
      </c>
      <c r="I99" s="337" t="e">
        <f t="shared" ref="I99:I104" ca="1" si="26">H99/F99*P99</f>
        <v>#DIV/0!</v>
      </c>
      <c r="J99" s="650"/>
      <c r="K99" s="340">
        <f t="shared" ref="K99:K105" si="27">G99-E99</f>
        <v>0</v>
      </c>
      <c r="L99" s="337"/>
      <c r="M99" s="650"/>
      <c r="P99" s="102">
        <v>100</v>
      </c>
    </row>
    <row r="100" spans="1:16" s="114" customFormat="1" x14ac:dyDescent="0.3">
      <c r="A100" s="64"/>
      <c r="B100" s="329"/>
      <c r="C100" s="113"/>
      <c r="D100" s="119"/>
      <c r="E100" s="119"/>
      <c r="F100" s="119"/>
      <c r="G100" s="336"/>
      <c r="H100" s="340">
        <f t="shared" si="25"/>
        <v>0</v>
      </c>
      <c r="I100" s="337" t="e">
        <f t="shared" si="26"/>
        <v>#DIV/0!</v>
      </c>
      <c r="J100" s="651"/>
      <c r="K100" s="340">
        <f t="shared" si="27"/>
        <v>0</v>
      </c>
      <c r="L100" s="353"/>
      <c r="M100" s="651"/>
      <c r="P100" s="102">
        <v>100</v>
      </c>
    </row>
    <row r="101" spans="1:16" s="114" customFormat="1" x14ac:dyDescent="0.3">
      <c r="A101" s="330"/>
      <c r="B101" s="331"/>
      <c r="C101" s="113"/>
      <c r="D101" s="119"/>
      <c r="E101" s="119"/>
      <c r="F101" s="119"/>
      <c r="G101" s="336"/>
      <c r="H101" s="340">
        <f t="shared" si="25"/>
        <v>0</v>
      </c>
      <c r="I101" s="337" t="e">
        <f t="shared" si="26"/>
        <v>#DIV/0!</v>
      </c>
      <c r="J101" s="651"/>
      <c r="K101" s="340">
        <f t="shared" si="27"/>
        <v>0</v>
      </c>
      <c r="L101" s="353"/>
      <c r="M101" s="651"/>
      <c r="P101" s="102">
        <v>100</v>
      </c>
    </row>
    <row r="102" spans="1:16" ht="41.25" x14ac:dyDescent="0.3">
      <c r="A102" s="122">
        <v>53600</v>
      </c>
      <c r="B102" s="123" t="s">
        <v>560</v>
      </c>
      <c r="C102" s="110">
        <f ca="1">SUM(OFFSET(C105,-1,0):OFFSET(C102,1,0))</f>
        <v>0</v>
      </c>
      <c r="D102" s="110">
        <f ca="1">SUM(OFFSET(D105,-1,0):OFFSET(D102,1,0))</f>
        <v>0</v>
      </c>
      <c r="E102" s="110"/>
      <c r="F102" s="110">
        <f ca="1">SUM(OFFSET(F105,-1,0):OFFSET(F102,1,0))</f>
        <v>0</v>
      </c>
      <c r="G102" s="335"/>
      <c r="H102" s="340">
        <f t="shared" ca="1" si="25"/>
        <v>0</v>
      </c>
      <c r="I102" s="337" t="e">
        <f t="shared" ca="1" si="26"/>
        <v>#DIV/0!</v>
      </c>
      <c r="J102" s="650"/>
      <c r="K102" s="340">
        <f t="shared" si="27"/>
        <v>0</v>
      </c>
      <c r="L102" s="337"/>
      <c r="M102" s="650"/>
      <c r="P102" s="102">
        <v>100</v>
      </c>
    </row>
    <row r="103" spans="1:16" s="114" customFormat="1" x14ac:dyDescent="0.3">
      <c r="A103" s="62"/>
      <c r="B103" s="63"/>
      <c r="C103" s="113"/>
      <c r="D103" s="119"/>
      <c r="E103" s="119"/>
      <c r="F103" s="119"/>
      <c r="G103" s="336"/>
      <c r="H103" s="340">
        <f t="shared" si="25"/>
        <v>0</v>
      </c>
      <c r="I103" s="337" t="e">
        <f t="shared" si="26"/>
        <v>#DIV/0!</v>
      </c>
      <c r="J103" s="651"/>
      <c r="K103" s="340">
        <f t="shared" si="27"/>
        <v>0</v>
      </c>
      <c r="L103" s="353"/>
      <c r="M103" s="651"/>
      <c r="P103" s="102">
        <v>100</v>
      </c>
    </row>
    <row r="104" spans="1:16" s="114" customFormat="1" x14ac:dyDescent="0.3">
      <c r="A104" s="62"/>
      <c r="B104" s="63"/>
      <c r="C104" s="113"/>
      <c r="D104" s="119"/>
      <c r="E104" s="119"/>
      <c r="F104" s="119"/>
      <c r="G104" s="336"/>
      <c r="H104" s="340">
        <f t="shared" si="25"/>
        <v>0</v>
      </c>
      <c r="I104" s="337" t="e">
        <f t="shared" si="26"/>
        <v>#DIV/0!</v>
      </c>
      <c r="J104" s="651"/>
      <c r="K104" s="340">
        <f t="shared" si="27"/>
        <v>0</v>
      </c>
      <c r="L104" s="353"/>
      <c r="M104" s="651"/>
      <c r="P104" s="102">
        <v>100</v>
      </c>
    </row>
    <row r="105" spans="1:16" x14ac:dyDescent="0.3">
      <c r="A105" s="105">
        <v>50000</v>
      </c>
      <c r="B105" s="106" t="s">
        <v>296</v>
      </c>
      <c r="C105" s="124">
        <f ca="1">C3+C21+C12</f>
        <v>1784741</v>
      </c>
      <c r="D105" s="124">
        <f ca="1">D3+D21+D12</f>
        <v>898524</v>
      </c>
      <c r="E105" s="124">
        <f ca="1">E3+E12+E21</f>
        <v>1784741</v>
      </c>
      <c r="F105" s="124">
        <f ca="1">F3+F21+F12</f>
        <v>898524</v>
      </c>
      <c r="G105" s="499">
        <f>G21+G12+G3</f>
        <v>823241</v>
      </c>
      <c r="H105" s="340">
        <f t="shared" ca="1" si="25"/>
        <v>-75283</v>
      </c>
      <c r="I105" s="360">
        <f ca="1">IFERROR(H105/ABS(F105), "-")</f>
        <v>-8.37851854819682E-2</v>
      </c>
      <c r="J105" s="652"/>
      <c r="K105" s="340">
        <f t="shared" ca="1" si="27"/>
        <v>-961500</v>
      </c>
      <c r="L105" s="360">
        <f t="shared" ref="L105" ca="1" si="28">IFERROR(K105/ABS(E105), "-")</f>
        <v>-0.53873363137844654</v>
      </c>
      <c r="M105" s="652"/>
      <c r="P105" s="102">
        <v>100</v>
      </c>
    </row>
    <row r="106" spans="1:16" x14ac:dyDescent="0.3">
      <c r="A106" s="125"/>
      <c r="B106" s="332"/>
    </row>
    <row r="107" spans="1:16" x14ac:dyDescent="0.3">
      <c r="A107" s="333" t="s">
        <v>768</v>
      </c>
      <c r="B107" s="334"/>
      <c r="C107" s="334"/>
    </row>
    <row r="108" spans="1:16" ht="61.5" customHeight="1" x14ac:dyDescent="0.3">
      <c r="A108" s="813" t="s">
        <v>573</v>
      </c>
      <c r="B108" s="814"/>
      <c r="C108" s="814"/>
    </row>
    <row r="109" spans="1:16" x14ac:dyDescent="0.3">
      <c r="A109" s="813" t="s">
        <v>532</v>
      </c>
      <c r="B109" s="814"/>
      <c r="C109" s="814"/>
    </row>
    <row r="110" spans="1:16" x14ac:dyDescent="0.3">
      <c r="A110" s="815" t="s">
        <v>533</v>
      </c>
      <c r="B110" s="816"/>
      <c r="C110" s="816"/>
    </row>
    <row r="111" spans="1:16" x14ac:dyDescent="0.3">
      <c r="A111" s="815" t="s">
        <v>534</v>
      </c>
      <c r="B111" s="816"/>
      <c r="C111" s="816"/>
    </row>
    <row r="112" spans="1:16" x14ac:dyDescent="0.3">
      <c r="A112" s="813" t="s">
        <v>535</v>
      </c>
      <c r="B112" s="814"/>
      <c r="C112" s="814"/>
    </row>
    <row r="113" spans="1:3" x14ac:dyDescent="0.3">
      <c r="A113" s="813" t="s">
        <v>536</v>
      </c>
      <c r="B113" s="814"/>
      <c r="C113" s="814"/>
    </row>
    <row r="114" spans="1:3" x14ac:dyDescent="0.3">
      <c r="A114" s="126" t="s">
        <v>537</v>
      </c>
    </row>
    <row r="115" spans="1:3" x14ac:dyDescent="0.3">
      <c r="A115" s="813" t="s">
        <v>538</v>
      </c>
      <c r="B115" s="814"/>
      <c r="C115" s="814"/>
    </row>
    <row r="116" spans="1:3" x14ac:dyDescent="0.3">
      <c r="A116" s="815" t="s">
        <v>539</v>
      </c>
      <c r="B116" s="816"/>
      <c r="C116" s="816"/>
    </row>
    <row r="117" spans="1:3" x14ac:dyDescent="0.3">
      <c r="A117" s="813" t="s">
        <v>540</v>
      </c>
      <c r="B117" s="814"/>
      <c r="C117" s="814"/>
    </row>
    <row r="118" spans="1:3" x14ac:dyDescent="0.3">
      <c r="A118" s="813" t="s">
        <v>541</v>
      </c>
      <c r="B118" s="814"/>
      <c r="C118" s="814"/>
    </row>
    <row r="119" spans="1:3" x14ac:dyDescent="0.3">
      <c r="A119" s="813" t="s">
        <v>542</v>
      </c>
      <c r="B119" s="814"/>
      <c r="C119" s="814"/>
    </row>
    <row r="120" spans="1:3" x14ac:dyDescent="0.3">
      <c r="A120" s="813" t="s">
        <v>543</v>
      </c>
      <c r="B120" s="814"/>
      <c r="C120" s="814"/>
    </row>
    <row r="121" spans="1:3" x14ac:dyDescent="0.3">
      <c r="A121" s="813" t="s">
        <v>544</v>
      </c>
      <c r="B121" s="814"/>
      <c r="C121" s="814"/>
    </row>
    <row r="122" spans="1:3" x14ac:dyDescent="0.3">
      <c r="A122" s="813" t="s">
        <v>545</v>
      </c>
      <c r="B122" s="814"/>
      <c r="C122" s="814"/>
    </row>
    <row r="123" spans="1:3" x14ac:dyDescent="0.3">
      <c r="A123" s="817" t="s">
        <v>531</v>
      </c>
      <c r="B123" s="817"/>
      <c r="C123" s="817"/>
    </row>
    <row r="124" spans="1:3" x14ac:dyDescent="0.3">
      <c r="A124" s="485"/>
      <c r="B124" s="485"/>
      <c r="C124" s="485"/>
    </row>
  </sheetData>
  <sheetProtection formatColumns="0" formatRows="0" insertRows="0" deleteRows="0"/>
  <mergeCells count="21">
    <mergeCell ref="A122:C122"/>
    <mergeCell ref="A123:C123"/>
    <mergeCell ref="J4:J11"/>
    <mergeCell ref="M4:M11"/>
    <mergeCell ref="J22:J98"/>
    <mergeCell ref="M22:M98"/>
    <mergeCell ref="A112:C112"/>
    <mergeCell ref="A121:C121"/>
    <mergeCell ref="A116:C116"/>
    <mergeCell ref="A117:C117"/>
    <mergeCell ref="A118:C118"/>
    <mergeCell ref="A119:C119"/>
    <mergeCell ref="A120:C120"/>
    <mergeCell ref="J13:J20"/>
    <mergeCell ref="M13:M20"/>
    <mergeCell ref="A108:C108"/>
    <mergeCell ref="A109:C109"/>
    <mergeCell ref="A115:C115"/>
    <mergeCell ref="A110:C110"/>
    <mergeCell ref="A111:C111"/>
    <mergeCell ref="A113:C113"/>
  </mergeCells>
  <phoneticPr fontId="53" type="noConversion"/>
  <pageMargins left="0.70866141732283472" right="0.70866141732283472" top="0.74916666666666665" bottom="0.74803149606299213" header="0.31496062992125984" footer="0.31496062992125984"/>
  <pageSetup paperSize="9" scale="30" fitToHeight="0" orientation="portrait" r:id="rId1"/>
  <headerFooter>
    <oddHeader xml:space="preserve">&amp;C&amp;"Times New Roman,Bold"&amp;14
Ieguldījumu tāme&amp;R&amp;"Times New Roman,Regular"&amp;14 6.pielikums
 </oddHeader>
    <oddFooter>&amp;C&amp;"Times New Roman,Regular"&amp;12&amp;F &amp;A&amp;R&amp;"Times New Roman,Regular"&amp;14&amp;P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7">
    <tabColor theme="9" tint="0.79998168889431442"/>
    <pageSetUpPr fitToPage="1"/>
  </sheetPr>
  <dimension ref="A1:H111"/>
  <sheetViews>
    <sheetView workbookViewId="0">
      <selection activeCell="C83" sqref="C83:C89"/>
    </sheetView>
  </sheetViews>
  <sheetFormatPr defaultRowHeight="15.75" x14ac:dyDescent="0.2"/>
  <cols>
    <col min="1" max="1" width="8.7109375" style="94" bestFit="1" customWidth="1"/>
    <col min="2" max="2" width="43.85546875" style="93" customWidth="1"/>
    <col min="3" max="3" width="19.85546875" style="550" customWidth="1"/>
    <col min="4" max="6" width="17.5703125" style="550" customWidth="1"/>
    <col min="7" max="7" width="32.7109375" style="553" customWidth="1"/>
    <col min="8" max="16384" width="9.140625" style="93"/>
  </cols>
  <sheetData>
    <row r="1" spans="1:7" ht="38.25" x14ac:dyDescent="0.2">
      <c r="A1" s="128" t="s">
        <v>583</v>
      </c>
      <c r="B1" s="129" t="s">
        <v>631</v>
      </c>
      <c r="C1" s="509"/>
      <c r="D1" s="129" t="s">
        <v>584</v>
      </c>
      <c r="E1" s="129" t="s">
        <v>585</v>
      </c>
      <c r="F1" s="129" t="s">
        <v>586</v>
      </c>
      <c r="G1" s="129" t="s">
        <v>587</v>
      </c>
    </row>
    <row r="2" spans="1:7" x14ac:dyDescent="0.2">
      <c r="A2" s="128"/>
      <c r="B2" s="129" t="s">
        <v>368</v>
      </c>
      <c r="C2" s="509"/>
      <c r="D2" s="509"/>
      <c r="E2" s="509"/>
      <c r="F2" s="509"/>
      <c r="G2" s="509"/>
    </row>
    <row r="3" spans="1:7" x14ac:dyDescent="0.2">
      <c r="A3" s="130" t="s">
        <v>588</v>
      </c>
      <c r="B3" s="131" t="s">
        <v>369</v>
      </c>
      <c r="C3" s="628">
        <f>C4+C9+C13+C17+C26</f>
        <v>5930401</v>
      </c>
      <c r="D3" s="510"/>
      <c r="E3" s="511"/>
      <c r="F3" s="512"/>
      <c r="G3" s="513"/>
    </row>
    <row r="4" spans="1:7" x14ac:dyDescent="0.2">
      <c r="A4" s="132" t="s">
        <v>589</v>
      </c>
      <c r="B4" s="133" t="s">
        <v>370</v>
      </c>
      <c r="C4" s="514"/>
      <c r="D4" s="515"/>
      <c r="E4" s="516"/>
      <c r="F4" s="517"/>
      <c r="G4" s="518"/>
    </row>
    <row r="5" spans="1:7" x14ac:dyDescent="0.2">
      <c r="A5" s="134" t="s">
        <v>590</v>
      </c>
      <c r="B5" s="135" t="s">
        <v>591</v>
      </c>
      <c r="C5" s="519"/>
      <c r="D5" s="520"/>
      <c r="E5" s="521"/>
      <c r="F5" s="522"/>
      <c r="G5" s="523"/>
    </row>
    <row r="6" spans="1:7" x14ac:dyDescent="0.2">
      <c r="A6" s="134" t="s">
        <v>592</v>
      </c>
      <c r="B6" s="135" t="s">
        <v>591</v>
      </c>
      <c r="C6" s="519"/>
      <c r="D6" s="520"/>
      <c r="E6" s="521"/>
      <c r="F6" s="522"/>
      <c r="G6" s="523"/>
    </row>
    <row r="7" spans="1:7" x14ac:dyDescent="0.2">
      <c r="A7" s="134" t="s">
        <v>593</v>
      </c>
      <c r="B7" s="135" t="s">
        <v>591</v>
      </c>
      <c r="C7" s="519"/>
      <c r="D7" s="520"/>
      <c r="E7" s="521"/>
      <c r="F7" s="522"/>
      <c r="G7" s="523"/>
    </row>
    <row r="8" spans="1:7" x14ac:dyDescent="0.2">
      <c r="A8" s="134"/>
      <c r="B8" s="135"/>
      <c r="C8" s="519"/>
      <c r="D8" s="524"/>
      <c r="E8" s="525"/>
      <c r="F8" s="526"/>
      <c r="G8" s="527"/>
    </row>
    <row r="9" spans="1:7" x14ac:dyDescent="0.2">
      <c r="A9" s="136" t="s">
        <v>594</v>
      </c>
      <c r="B9" s="137" t="s">
        <v>371</v>
      </c>
      <c r="C9" s="528"/>
      <c r="D9" s="515"/>
      <c r="E9" s="516"/>
      <c r="F9" s="517"/>
      <c r="G9" s="518"/>
    </row>
    <row r="10" spans="1:7" x14ac:dyDescent="0.2">
      <c r="A10" s="134" t="s">
        <v>595</v>
      </c>
      <c r="B10" s="138" t="s">
        <v>591</v>
      </c>
      <c r="C10" s="529"/>
      <c r="D10" s="530"/>
      <c r="E10" s="525"/>
      <c r="F10" s="526"/>
      <c r="G10" s="527"/>
    </row>
    <row r="11" spans="1:7" x14ac:dyDescent="0.2">
      <c r="A11" s="134" t="s">
        <v>596</v>
      </c>
      <c r="B11" s="138" t="s">
        <v>591</v>
      </c>
      <c r="C11" s="529"/>
      <c r="D11" s="530"/>
      <c r="E11" s="525"/>
      <c r="F11" s="526"/>
      <c r="G11" s="527"/>
    </row>
    <row r="12" spans="1:7" x14ac:dyDescent="0.2">
      <c r="A12" s="134" t="s">
        <v>593</v>
      </c>
      <c r="B12" s="138" t="s">
        <v>591</v>
      </c>
      <c r="C12" s="529"/>
      <c r="D12" s="530"/>
      <c r="E12" s="525"/>
      <c r="F12" s="526"/>
      <c r="G12" s="527"/>
    </row>
    <row r="13" spans="1:7" x14ac:dyDescent="0.2">
      <c r="A13" s="136" t="s">
        <v>597</v>
      </c>
      <c r="B13" s="137" t="s">
        <v>372</v>
      </c>
      <c r="C13" s="528"/>
      <c r="D13" s="515"/>
      <c r="E13" s="516"/>
      <c r="F13" s="517"/>
      <c r="G13" s="518"/>
    </row>
    <row r="14" spans="1:7" x14ac:dyDescent="0.2">
      <c r="A14" s="134" t="s">
        <v>598</v>
      </c>
      <c r="B14" s="138" t="s">
        <v>591</v>
      </c>
      <c r="C14" s="529"/>
      <c r="D14" s="530"/>
      <c r="E14" s="525"/>
      <c r="F14" s="526"/>
      <c r="G14" s="527"/>
    </row>
    <row r="15" spans="1:7" x14ac:dyDescent="0.2">
      <c r="A15" s="134" t="s">
        <v>599</v>
      </c>
      <c r="B15" s="138" t="s">
        <v>591</v>
      </c>
      <c r="C15" s="529"/>
      <c r="D15" s="530"/>
      <c r="E15" s="525"/>
      <c r="F15" s="526"/>
      <c r="G15" s="527"/>
    </row>
    <row r="16" spans="1:7" x14ac:dyDescent="0.2">
      <c r="A16" s="134" t="s">
        <v>593</v>
      </c>
      <c r="B16" s="138" t="s">
        <v>591</v>
      </c>
      <c r="C16" s="529"/>
      <c r="D16" s="530"/>
      <c r="E16" s="525"/>
      <c r="F16" s="526"/>
      <c r="G16" s="527"/>
    </row>
    <row r="17" spans="1:7" x14ac:dyDescent="0.2">
      <c r="A17" s="136" t="s">
        <v>600</v>
      </c>
      <c r="B17" s="137" t="s">
        <v>373</v>
      </c>
      <c r="C17" s="627">
        <f>C18+C19+C20+C21+C22+C23+C24+C25</f>
        <v>5856488</v>
      </c>
      <c r="D17" s="515"/>
      <c r="E17" s="516"/>
      <c r="F17" s="517"/>
      <c r="G17" s="518"/>
    </row>
    <row r="18" spans="1:7" ht="25.5" x14ac:dyDescent="0.2">
      <c r="A18" s="134" t="s">
        <v>601</v>
      </c>
      <c r="B18" s="139" t="s">
        <v>652</v>
      </c>
      <c r="C18" s="564">
        <v>331935</v>
      </c>
      <c r="D18" s="531"/>
      <c r="E18" s="521"/>
      <c r="F18" s="522"/>
      <c r="G18" s="523"/>
    </row>
    <row r="19" spans="1:7" ht="25.5" x14ac:dyDescent="0.2">
      <c r="A19" s="134" t="s">
        <v>602</v>
      </c>
      <c r="B19" s="139" t="s">
        <v>653</v>
      </c>
      <c r="C19" s="564">
        <v>1288560</v>
      </c>
      <c r="D19" s="531"/>
      <c r="E19" s="521"/>
      <c r="F19" s="522"/>
      <c r="G19" s="523"/>
    </row>
    <row r="20" spans="1:7" ht="25.5" x14ac:dyDescent="0.2">
      <c r="A20" s="134" t="s">
        <v>593</v>
      </c>
      <c r="B20" s="139" t="s">
        <v>654</v>
      </c>
      <c r="C20" s="564">
        <v>2073519</v>
      </c>
      <c r="D20" s="531"/>
      <c r="E20" s="521"/>
      <c r="F20" s="522"/>
      <c r="G20" s="523"/>
    </row>
    <row r="21" spans="1:7" x14ac:dyDescent="0.2">
      <c r="A21" s="134"/>
      <c r="B21" s="139" t="s">
        <v>655</v>
      </c>
      <c r="C21" s="564">
        <v>1142966</v>
      </c>
      <c r="D21" s="531"/>
      <c r="E21" s="521"/>
      <c r="F21" s="522"/>
      <c r="G21" s="523"/>
    </row>
    <row r="22" spans="1:7" x14ac:dyDescent="0.2">
      <c r="A22" s="134"/>
      <c r="B22" s="139" t="s">
        <v>656</v>
      </c>
      <c r="C22" s="564">
        <v>890919</v>
      </c>
      <c r="D22" s="531"/>
      <c r="E22" s="521"/>
      <c r="F22" s="522"/>
      <c r="G22" s="523"/>
    </row>
    <row r="23" spans="1:7" x14ac:dyDescent="0.2">
      <c r="A23" s="134"/>
      <c r="B23" s="139" t="s">
        <v>657</v>
      </c>
      <c r="C23" s="564">
        <v>64711</v>
      </c>
      <c r="D23" s="531"/>
      <c r="E23" s="521"/>
      <c r="F23" s="522"/>
      <c r="G23" s="523"/>
    </row>
    <row r="24" spans="1:7" x14ac:dyDescent="0.2">
      <c r="A24" s="134"/>
      <c r="B24" s="139" t="s">
        <v>658</v>
      </c>
      <c r="C24" s="564">
        <v>63483</v>
      </c>
      <c r="D24" s="531"/>
      <c r="E24" s="525"/>
      <c r="F24" s="526"/>
      <c r="G24" s="527"/>
    </row>
    <row r="25" spans="1:7" x14ac:dyDescent="0.2">
      <c r="A25" s="134"/>
      <c r="B25" s="138" t="s">
        <v>836</v>
      </c>
      <c r="C25" s="625">
        <v>395</v>
      </c>
      <c r="D25" s="530"/>
      <c r="E25" s="525"/>
      <c r="F25" s="526"/>
      <c r="G25" s="527"/>
    </row>
    <row r="26" spans="1:7" ht="38.25" x14ac:dyDescent="0.2">
      <c r="A26" s="136" t="s">
        <v>603</v>
      </c>
      <c r="B26" s="137" t="s">
        <v>786</v>
      </c>
      <c r="C26" s="626">
        <f>C27+C28</f>
        <v>73913</v>
      </c>
      <c r="D26" s="563"/>
      <c r="E26" s="516"/>
      <c r="F26" s="517"/>
      <c r="G26" s="518"/>
    </row>
    <row r="27" spans="1:7" x14ac:dyDescent="0.2">
      <c r="A27" s="134" t="s">
        <v>604</v>
      </c>
      <c r="B27" s="138" t="s">
        <v>682</v>
      </c>
      <c r="C27" s="625">
        <v>67717</v>
      </c>
      <c r="D27" s="564"/>
      <c r="E27" s="525"/>
      <c r="F27" s="562"/>
      <c r="G27" s="561" t="s">
        <v>787</v>
      </c>
    </row>
    <row r="28" spans="1:7" x14ac:dyDescent="0.2">
      <c r="A28" s="134" t="s">
        <v>605</v>
      </c>
      <c r="B28" s="138" t="s">
        <v>800</v>
      </c>
      <c r="C28" s="625">
        <v>6196</v>
      </c>
      <c r="D28" s="564"/>
      <c r="E28" s="525"/>
      <c r="F28" s="562"/>
      <c r="G28" s="561" t="s">
        <v>787</v>
      </c>
    </row>
    <row r="29" spans="1:7" x14ac:dyDescent="0.2">
      <c r="A29" s="134" t="s">
        <v>593</v>
      </c>
      <c r="B29" s="138" t="s">
        <v>591</v>
      </c>
      <c r="C29" s="529"/>
      <c r="D29" s="530"/>
      <c r="E29" s="525"/>
      <c r="F29" s="562"/>
      <c r="G29" s="561"/>
    </row>
    <row r="30" spans="1:7" x14ac:dyDescent="0.2">
      <c r="A30" s="130" t="s">
        <v>606</v>
      </c>
      <c r="B30" s="131" t="s">
        <v>375</v>
      </c>
      <c r="C30" s="628">
        <f>C31+C35+C39+C48+C56+C64+C68+C78</f>
        <v>2174617.09</v>
      </c>
      <c r="D30" s="510"/>
      <c r="E30" s="511"/>
      <c r="F30" s="512"/>
      <c r="G30" s="513"/>
    </row>
    <row r="31" spans="1:7" x14ac:dyDescent="0.2">
      <c r="A31" s="136" t="s">
        <v>607</v>
      </c>
      <c r="B31" s="137" t="s">
        <v>370</v>
      </c>
      <c r="C31" s="528"/>
      <c r="D31" s="515"/>
      <c r="E31" s="516"/>
      <c r="F31" s="517"/>
      <c r="G31" s="518"/>
    </row>
    <row r="32" spans="1:7" x14ac:dyDescent="0.2">
      <c r="A32" s="134" t="s">
        <v>608</v>
      </c>
      <c r="B32" s="138" t="s">
        <v>591</v>
      </c>
      <c r="C32" s="529"/>
      <c r="D32" s="530"/>
      <c r="E32" s="525"/>
      <c r="F32" s="526"/>
      <c r="G32" s="527"/>
    </row>
    <row r="33" spans="1:7" x14ac:dyDescent="0.2">
      <c r="A33" s="134" t="s">
        <v>609</v>
      </c>
      <c r="B33" s="138" t="s">
        <v>591</v>
      </c>
      <c r="C33" s="529"/>
      <c r="D33" s="530"/>
      <c r="E33" s="525"/>
      <c r="F33" s="526"/>
      <c r="G33" s="527"/>
    </row>
    <row r="34" spans="1:7" x14ac:dyDescent="0.2">
      <c r="A34" s="134" t="s">
        <v>593</v>
      </c>
      <c r="B34" s="138" t="s">
        <v>591</v>
      </c>
      <c r="C34" s="529"/>
      <c r="D34" s="530"/>
      <c r="E34" s="525"/>
      <c r="F34" s="526"/>
      <c r="G34" s="527"/>
    </row>
    <row r="35" spans="1:7" x14ac:dyDescent="0.2">
      <c r="A35" s="136" t="s">
        <v>610</v>
      </c>
      <c r="B35" s="137" t="s">
        <v>372</v>
      </c>
      <c r="C35" s="528"/>
      <c r="D35" s="516"/>
      <c r="E35" s="516"/>
      <c r="F35" s="517"/>
      <c r="G35" s="518"/>
    </row>
    <row r="36" spans="1:7" x14ac:dyDescent="0.2">
      <c r="A36" s="134" t="s">
        <v>611</v>
      </c>
      <c r="B36" s="138" t="s">
        <v>591</v>
      </c>
      <c r="C36" s="529"/>
      <c r="D36" s="525"/>
      <c r="E36" s="525"/>
      <c r="F36" s="526"/>
      <c r="G36" s="527"/>
    </row>
    <row r="37" spans="1:7" x14ac:dyDescent="0.2">
      <c r="A37" s="134" t="s">
        <v>612</v>
      </c>
      <c r="B37" s="138" t="s">
        <v>591</v>
      </c>
      <c r="C37" s="529"/>
      <c r="D37" s="525"/>
      <c r="E37" s="525"/>
      <c r="F37" s="526"/>
      <c r="G37" s="527"/>
    </row>
    <row r="38" spans="1:7" x14ac:dyDescent="0.2">
      <c r="A38" s="134" t="s">
        <v>593</v>
      </c>
      <c r="B38" s="138" t="s">
        <v>591</v>
      </c>
      <c r="C38" s="529"/>
      <c r="D38" s="525"/>
      <c r="E38" s="525"/>
      <c r="F38" s="526"/>
      <c r="G38" s="527"/>
    </row>
    <row r="39" spans="1:7" ht="38.25" x14ac:dyDescent="0.2">
      <c r="A39" s="136" t="s">
        <v>613</v>
      </c>
      <c r="B39" s="137" t="s">
        <v>659</v>
      </c>
      <c r="C39" s="627">
        <f>C40+C41+C42+C43</f>
        <v>6010</v>
      </c>
      <c r="D39" s="516"/>
      <c r="E39" s="516"/>
      <c r="F39" s="517"/>
      <c r="G39" s="518"/>
    </row>
    <row r="40" spans="1:7" x14ac:dyDescent="0.2">
      <c r="A40" s="134" t="s">
        <v>614</v>
      </c>
      <c r="B40" s="262" t="s">
        <v>837</v>
      </c>
      <c r="C40" s="629">
        <v>1817</v>
      </c>
      <c r="D40" s="531"/>
      <c r="E40" s="531"/>
      <c r="F40" s="522"/>
      <c r="G40" s="561" t="s">
        <v>774</v>
      </c>
    </row>
    <row r="41" spans="1:7" x14ac:dyDescent="0.2">
      <c r="A41" s="134" t="s">
        <v>615</v>
      </c>
      <c r="B41" s="262" t="s">
        <v>838</v>
      </c>
      <c r="C41" s="629">
        <v>1817</v>
      </c>
      <c r="D41" s="531"/>
      <c r="E41" s="531"/>
      <c r="F41" s="522"/>
      <c r="G41" s="561" t="s">
        <v>774</v>
      </c>
    </row>
    <row r="42" spans="1:7" x14ac:dyDescent="0.2">
      <c r="A42" s="134" t="s">
        <v>593</v>
      </c>
      <c r="B42" s="262" t="s">
        <v>839</v>
      </c>
      <c r="C42" s="629">
        <v>1489</v>
      </c>
      <c r="D42" s="531"/>
      <c r="E42" s="531"/>
      <c r="F42" s="522"/>
      <c r="G42" s="561" t="s">
        <v>774</v>
      </c>
    </row>
    <row r="43" spans="1:7" x14ac:dyDescent="0.2">
      <c r="A43" s="140"/>
      <c r="B43" s="135" t="s">
        <v>840</v>
      </c>
      <c r="C43" s="630">
        <v>887</v>
      </c>
      <c r="D43" s="531"/>
      <c r="E43" s="531"/>
      <c r="F43" s="522"/>
      <c r="G43" s="561" t="s">
        <v>774</v>
      </c>
    </row>
    <row r="44" spans="1:7" x14ac:dyDescent="0.2">
      <c r="A44" s="140"/>
      <c r="C44" s="564"/>
      <c r="D44" s="521"/>
      <c r="E44" s="521"/>
      <c r="F44" s="522"/>
      <c r="G44" s="561" t="s">
        <v>774</v>
      </c>
    </row>
    <row r="45" spans="1:7" x14ac:dyDescent="0.2">
      <c r="A45" s="134"/>
      <c r="B45" s="138"/>
      <c r="C45" s="532"/>
      <c r="D45" s="525"/>
      <c r="E45" s="525"/>
      <c r="F45" s="526"/>
      <c r="G45" s="527"/>
    </row>
    <row r="46" spans="1:7" x14ac:dyDescent="0.2">
      <c r="A46" s="134"/>
      <c r="B46" s="138"/>
      <c r="C46" s="532"/>
      <c r="D46" s="525"/>
      <c r="E46" s="525"/>
      <c r="F46" s="526"/>
      <c r="G46" s="527"/>
    </row>
    <row r="47" spans="1:7" x14ac:dyDescent="0.2">
      <c r="A47" s="134"/>
      <c r="C47" s="533"/>
      <c r="D47" s="521"/>
      <c r="E47" s="521"/>
      <c r="F47" s="522"/>
      <c r="G47" s="523"/>
    </row>
    <row r="48" spans="1:7" ht="38.25" x14ac:dyDescent="0.2">
      <c r="A48" s="136" t="s">
        <v>616</v>
      </c>
      <c r="B48" s="137" t="s">
        <v>660</v>
      </c>
      <c r="C48" s="627">
        <f>C49+C50+C51+C52+C53+C54</f>
        <v>571370.09</v>
      </c>
      <c r="D48" s="516"/>
      <c r="E48" s="516"/>
      <c r="F48" s="517"/>
      <c r="G48" s="518"/>
    </row>
    <row r="49" spans="1:7" x14ac:dyDescent="0.2">
      <c r="A49" s="134" t="s">
        <v>617</v>
      </c>
      <c r="B49" s="349" t="s">
        <v>661</v>
      </c>
      <c r="C49" s="634">
        <v>133034.06</v>
      </c>
      <c r="D49" s="525"/>
      <c r="E49" s="525"/>
      <c r="F49" s="526"/>
      <c r="G49" s="527"/>
    </row>
    <row r="50" spans="1:7" x14ac:dyDescent="0.2">
      <c r="A50" s="134" t="s">
        <v>593</v>
      </c>
      <c r="B50" s="262" t="s">
        <v>841</v>
      </c>
      <c r="C50" s="635">
        <v>84088.42</v>
      </c>
      <c r="D50" s="525"/>
      <c r="E50" s="525"/>
      <c r="F50" s="526"/>
      <c r="G50" s="527"/>
    </row>
    <row r="51" spans="1:7" x14ac:dyDescent="0.2">
      <c r="A51" s="134"/>
      <c r="B51" s="262" t="s">
        <v>775</v>
      </c>
      <c r="C51" s="632">
        <v>64598.3</v>
      </c>
      <c r="D51" s="525"/>
      <c r="E51" s="525"/>
      <c r="F51" s="526"/>
      <c r="G51" s="527"/>
    </row>
    <row r="52" spans="1:7" x14ac:dyDescent="0.2">
      <c r="A52" s="134"/>
      <c r="B52" s="262" t="s">
        <v>842</v>
      </c>
      <c r="C52" s="633">
        <v>31974.81</v>
      </c>
      <c r="D52" s="525"/>
      <c r="E52" s="525"/>
      <c r="F52" s="526"/>
      <c r="G52" s="527"/>
    </row>
    <row r="53" spans="1:7" x14ac:dyDescent="0.2">
      <c r="A53" s="134"/>
      <c r="B53" s="631" t="s">
        <v>843</v>
      </c>
      <c r="C53" s="636">
        <v>23259.5</v>
      </c>
      <c r="D53" s="525"/>
      <c r="E53" s="525"/>
      <c r="F53" s="526"/>
      <c r="G53" s="527"/>
    </row>
    <row r="54" spans="1:7" x14ac:dyDescent="0.2">
      <c r="A54" s="134"/>
      <c r="B54" s="135" t="s">
        <v>844</v>
      </c>
      <c r="C54" s="638">
        <v>234415</v>
      </c>
      <c r="D54" s="525"/>
      <c r="E54" s="525"/>
      <c r="F54" s="526"/>
      <c r="G54" s="527"/>
    </row>
    <row r="55" spans="1:7" x14ac:dyDescent="0.25">
      <c r="A55" s="134"/>
      <c r="B55" s="142"/>
      <c r="C55" s="637"/>
      <c r="D55" s="525"/>
      <c r="E55" s="525"/>
      <c r="F55" s="526"/>
      <c r="G55" s="527"/>
    </row>
    <row r="56" spans="1:7" x14ac:dyDescent="0.2">
      <c r="A56" s="136" t="s">
        <v>618</v>
      </c>
      <c r="B56" s="133" t="s">
        <v>378</v>
      </c>
      <c r="C56" s="627">
        <f>C57+C58+C59+C60+C61+C62</f>
        <v>530815</v>
      </c>
      <c r="D56" s="516"/>
      <c r="E56" s="516"/>
      <c r="F56" s="517"/>
      <c r="G56" s="518"/>
    </row>
    <row r="57" spans="1:7" x14ac:dyDescent="0.2">
      <c r="A57" s="141" t="s">
        <v>619</v>
      </c>
      <c r="B57" s="139" t="s">
        <v>662</v>
      </c>
      <c r="C57" s="639">
        <v>326755</v>
      </c>
      <c r="D57" s="521"/>
      <c r="E57" s="521"/>
      <c r="F57" s="522"/>
      <c r="G57" s="523"/>
    </row>
    <row r="58" spans="1:7" x14ac:dyDescent="0.2">
      <c r="A58" s="141" t="s">
        <v>620</v>
      </c>
      <c r="B58" s="139" t="s">
        <v>663</v>
      </c>
      <c r="C58" s="639">
        <v>179917</v>
      </c>
      <c r="D58" s="521"/>
      <c r="E58" s="521"/>
      <c r="F58" s="522"/>
      <c r="G58" s="523"/>
    </row>
    <row r="59" spans="1:7" x14ac:dyDescent="0.2">
      <c r="A59" s="141" t="s">
        <v>593</v>
      </c>
      <c r="B59" s="139" t="s">
        <v>664</v>
      </c>
      <c r="C59" s="639">
        <v>20477</v>
      </c>
      <c r="D59" s="534"/>
      <c r="E59" s="521"/>
      <c r="F59" s="522"/>
      <c r="G59" s="523"/>
    </row>
    <row r="60" spans="1:7" x14ac:dyDescent="0.2">
      <c r="A60" s="141"/>
      <c r="B60" s="139" t="s">
        <v>665</v>
      </c>
      <c r="C60" s="639">
        <v>0</v>
      </c>
      <c r="D60" s="525"/>
      <c r="E60" s="525"/>
      <c r="F60" s="526"/>
      <c r="G60" s="527"/>
    </row>
    <row r="61" spans="1:7" x14ac:dyDescent="0.2">
      <c r="A61" s="141"/>
      <c r="B61" s="139" t="s">
        <v>666</v>
      </c>
      <c r="C61" s="639">
        <v>3594</v>
      </c>
      <c r="D61" s="525"/>
      <c r="E61" s="525"/>
      <c r="F61" s="526"/>
      <c r="G61" s="527"/>
    </row>
    <row r="62" spans="1:7" x14ac:dyDescent="0.2">
      <c r="A62" s="141"/>
      <c r="B62" s="139" t="s">
        <v>667</v>
      </c>
      <c r="C62" s="639">
        <v>72</v>
      </c>
      <c r="D62" s="525"/>
      <c r="E62" s="525"/>
      <c r="F62" s="526"/>
      <c r="G62" s="527"/>
    </row>
    <row r="63" spans="1:7" x14ac:dyDescent="0.2">
      <c r="A63" s="141"/>
      <c r="B63" s="142"/>
      <c r="C63" s="640"/>
      <c r="D63" s="525"/>
      <c r="E63" s="525"/>
      <c r="F63" s="526"/>
      <c r="G63" s="527"/>
    </row>
    <row r="64" spans="1:7" ht="38.25" x14ac:dyDescent="0.2">
      <c r="A64" s="136" t="s">
        <v>621</v>
      </c>
      <c r="B64" s="143" t="s">
        <v>668</v>
      </c>
      <c r="C64" s="641">
        <f>C65+C66</f>
        <v>86342</v>
      </c>
      <c r="D64" s="516"/>
      <c r="E64" s="516"/>
      <c r="F64" s="517"/>
      <c r="G64" s="518"/>
    </row>
    <row r="65" spans="1:7" x14ac:dyDescent="0.2">
      <c r="A65" s="141" t="s">
        <v>622</v>
      </c>
      <c r="B65" s="139" t="s">
        <v>669</v>
      </c>
      <c r="C65" s="642">
        <v>83444</v>
      </c>
      <c r="D65" s="525"/>
      <c r="E65" s="525"/>
      <c r="F65" s="526"/>
      <c r="G65" s="527"/>
    </row>
    <row r="66" spans="1:7" x14ac:dyDescent="0.2">
      <c r="A66" s="141" t="s">
        <v>623</v>
      </c>
      <c r="B66" s="139" t="s">
        <v>670</v>
      </c>
      <c r="C66" s="642">
        <v>2898</v>
      </c>
      <c r="D66" s="525"/>
      <c r="E66" s="525"/>
      <c r="F66" s="526"/>
      <c r="G66" s="527"/>
    </row>
    <row r="67" spans="1:7" x14ac:dyDescent="0.2">
      <c r="A67" s="141" t="s">
        <v>593</v>
      </c>
      <c r="B67" s="138" t="s">
        <v>591</v>
      </c>
      <c r="C67" s="625"/>
      <c r="D67" s="525"/>
      <c r="E67" s="525"/>
      <c r="F67" s="526"/>
      <c r="G67" s="527"/>
    </row>
    <row r="68" spans="1:7" x14ac:dyDescent="0.2">
      <c r="A68" s="136" t="s">
        <v>624</v>
      </c>
      <c r="B68" s="137" t="s">
        <v>373</v>
      </c>
      <c r="C68" s="627">
        <f>C69+C70+C71+C72+C73+C74+C75+C76</f>
        <v>259277</v>
      </c>
      <c r="D68" s="516"/>
      <c r="E68" s="516"/>
      <c r="F68" s="517"/>
      <c r="G68" s="518"/>
    </row>
    <row r="69" spans="1:7" ht="25.5" x14ac:dyDescent="0.2">
      <c r="A69" s="134" t="s">
        <v>625</v>
      </c>
      <c r="B69" s="139" t="s">
        <v>652</v>
      </c>
      <c r="C69" s="642">
        <v>6258</v>
      </c>
      <c r="D69" s="521"/>
      <c r="E69" s="535"/>
      <c r="F69" s="536"/>
      <c r="G69" s="537"/>
    </row>
    <row r="70" spans="1:7" ht="25.5" x14ac:dyDescent="0.2">
      <c r="A70" s="134" t="s">
        <v>626</v>
      </c>
      <c r="B70" s="139" t="s">
        <v>653</v>
      </c>
      <c r="C70" s="642">
        <v>62924</v>
      </c>
      <c r="D70" s="521"/>
      <c r="E70" s="535"/>
      <c r="F70" s="536"/>
      <c r="G70" s="537"/>
    </row>
    <row r="71" spans="1:7" ht="25.5" x14ac:dyDescent="0.2">
      <c r="A71" s="134" t="s">
        <v>593</v>
      </c>
      <c r="B71" s="139" t="s">
        <v>654</v>
      </c>
      <c r="C71" s="642">
        <v>23039</v>
      </c>
      <c r="D71" s="521"/>
      <c r="E71" s="535"/>
      <c r="F71" s="536"/>
      <c r="G71" s="537"/>
    </row>
    <row r="72" spans="1:7" x14ac:dyDescent="0.2">
      <c r="A72" s="140"/>
      <c r="B72" s="139" t="s">
        <v>655</v>
      </c>
      <c r="C72" s="642">
        <v>112952</v>
      </c>
      <c r="D72" s="521"/>
      <c r="E72" s="535"/>
      <c r="F72" s="536"/>
      <c r="G72" s="537"/>
    </row>
    <row r="73" spans="1:7" x14ac:dyDescent="0.2">
      <c r="A73" s="140"/>
      <c r="B73" s="139" t="s">
        <v>656</v>
      </c>
      <c r="C73" s="642">
        <v>31224</v>
      </c>
      <c r="D73" s="521"/>
      <c r="E73" s="535"/>
      <c r="F73" s="536"/>
      <c r="G73" s="537"/>
    </row>
    <row r="74" spans="1:7" x14ac:dyDescent="0.2">
      <c r="A74" s="140"/>
      <c r="B74" s="139" t="s">
        <v>657</v>
      </c>
      <c r="C74" s="642">
        <v>9244</v>
      </c>
      <c r="D74" s="521"/>
      <c r="E74" s="535"/>
      <c r="F74" s="536"/>
      <c r="G74" s="537"/>
    </row>
    <row r="75" spans="1:7" x14ac:dyDescent="0.2">
      <c r="A75" s="134"/>
      <c r="B75" s="139" t="s">
        <v>658</v>
      </c>
      <c r="C75" s="643">
        <v>13517</v>
      </c>
      <c r="D75" s="525"/>
      <c r="E75" s="535"/>
      <c r="F75" s="536"/>
      <c r="G75" s="530"/>
    </row>
    <row r="76" spans="1:7" x14ac:dyDescent="0.2">
      <c r="A76" s="134"/>
      <c r="B76" s="138" t="s">
        <v>836</v>
      </c>
      <c r="C76" s="644">
        <v>119</v>
      </c>
      <c r="D76" s="525"/>
      <c r="E76" s="525"/>
      <c r="F76" s="526"/>
      <c r="G76" s="527"/>
    </row>
    <row r="77" spans="1:7" x14ac:dyDescent="0.2">
      <c r="A77" s="134"/>
      <c r="B77" s="138"/>
      <c r="C77" s="625"/>
      <c r="D77" s="525"/>
      <c r="E77" s="525"/>
      <c r="F77" s="526"/>
      <c r="G77" s="527"/>
    </row>
    <row r="78" spans="1:7" x14ac:dyDescent="0.2">
      <c r="A78" s="136" t="s">
        <v>627</v>
      </c>
      <c r="B78" s="133" t="s">
        <v>380</v>
      </c>
      <c r="C78" s="627">
        <f>C79+C80</f>
        <v>720803</v>
      </c>
      <c r="D78" s="516"/>
      <c r="E78" s="516"/>
      <c r="F78" s="517"/>
      <c r="G78" s="518"/>
    </row>
    <row r="79" spans="1:7" ht="25.5" x14ac:dyDescent="0.2">
      <c r="A79" s="141" t="s">
        <v>628</v>
      </c>
      <c r="B79" s="348" t="s">
        <v>671</v>
      </c>
      <c r="C79" s="645">
        <v>706770</v>
      </c>
      <c r="D79" s="525"/>
      <c r="E79" s="525"/>
      <c r="F79" s="526"/>
      <c r="G79" s="527"/>
    </row>
    <row r="80" spans="1:7" x14ac:dyDescent="0.2">
      <c r="A80" s="141" t="s">
        <v>629</v>
      </c>
      <c r="B80" s="139" t="s">
        <v>380</v>
      </c>
      <c r="C80" s="646">
        <v>14033</v>
      </c>
      <c r="D80" s="525"/>
      <c r="E80" s="525"/>
      <c r="F80" s="526"/>
      <c r="G80" s="527"/>
    </row>
    <row r="81" spans="1:7" x14ac:dyDescent="0.2">
      <c r="A81" s="134" t="s">
        <v>593</v>
      </c>
      <c r="B81" s="248" t="s">
        <v>591</v>
      </c>
      <c r="C81" s="529"/>
      <c r="D81" s="525"/>
      <c r="E81" s="525"/>
      <c r="F81" s="526"/>
      <c r="G81" s="527"/>
    </row>
    <row r="82" spans="1:7" x14ac:dyDescent="0.2">
      <c r="A82" s="134"/>
      <c r="B82" s="144" t="s">
        <v>401</v>
      </c>
      <c r="C82" s="539"/>
      <c r="D82" s="525"/>
      <c r="E82" s="525"/>
      <c r="F82" s="526"/>
      <c r="G82" s="527"/>
    </row>
    <row r="83" spans="1:7" s="95" customFormat="1" ht="51" x14ac:dyDescent="0.2">
      <c r="A83" s="145" t="s">
        <v>588</v>
      </c>
      <c r="B83" s="146" t="s">
        <v>683</v>
      </c>
      <c r="C83" s="565">
        <f>C84+C85+C86+C87+C88+C89</f>
        <v>964487.71</v>
      </c>
      <c r="D83" s="565">
        <v>436800</v>
      </c>
      <c r="E83" s="565">
        <v>217668</v>
      </c>
      <c r="F83" s="565">
        <v>13943</v>
      </c>
      <c r="G83" s="569"/>
    </row>
    <row r="84" spans="1:7" s="95" customFormat="1" x14ac:dyDescent="0.2">
      <c r="A84" s="147" t="s">
        <v>632</v>
      </c>
      <c r="B84" s="486" t="s">
        <v>672</v>
      </c>
      <c r="C84" s="648">
        <v>706070.69</v>
      </c>
      <c r="D84" s="560">
        <v>102864</v>
      </c>
      <c r="E84" s="571">
        <v>102864</v>
      </c>
      <c r="F84" s="572"/>
      <c r="G84" s="247" t="s">
        <v>703</v>
      </c>
    </row>
    <row r="85" spans="1:7" s="95" customFormat="1" x14ac:dyDescent="0.2">
      <c r="A85" s="147" t="s">
        <v>589</v>
      </c>
      <c r="B85" s="486" t="s">
        <v>672</v>
      </c>
      <c r="C85" s="648">
        <v>73325.759999999995</v>
      </c>
      <c r="D85" s="560">
        <v>25074</v>
      </c>
      <c r="E85" s="571">
        <v>25074</v>
      </c>
      <c r="F85" s="573"/>
      <c r="G85" s="247" t="s">
        <v>704</v>
      </c>
    </row>
    <row r="86" spans="1:7" s="95" customFormat="1" ht="25.5" x14ac:dyDescent="0.2">
      <c r="A86" s="147" t="s">
        <v>594</v>
      </c>
      <c r="B86" s="487" t="s">
        <v>673</v>
      </c>
      <c r="C86" s="648">
        <v>42749.38</v>
      </c>
      <c r="D86" s="560"/>
      <c r="E86" s="574"/>
      <c r="F86" s="575"/>
      <c r="G86" s="247" t="s">
        <v>705</v>
      </c>
    </row>
    <row r="87" spans="1:7" ht="25.5" x14ac:dyDescent="0.2">
      <c r="A87" s="147" t="s">
        <v>597</v>
      </c>
      <c r="B87" s="488" t="s">
        <v>674</v>
      </c>
      <c r="C87" s="648">
        <v>24273.63</v>
      </c>
      <c r="D87" s="560"/>
      <c r="E87" s="571"/>
      <c r="F87" s="576"/>
      <c r="G87" s="247" t="s">
        <v>705</v>
      </c>
    </row>
    <row r="88" spans="1:7" x14ac:dyDescent="0.2">
      <c r="A88" s="147" t="s">
        <v>600</v>
      </c>
      <c r="B88" s="489" t="s">
        <v>848</v>
      </c>
      <c r="C88" s="648">
        <v>15415.25</v>
      </c>
      <c r="D88" s="560">
        <v>6667</v>
      </c>
      <c r="E88" s="571">
        <v>6667</v>
      </c>
      <c r="F88" s="576"/>
      <c r="G88" s="247" t="s">
        <v>684</v>
      </c>
    </row>
    <row r="89" spans="1:7" x14ac:dyDescent="0.2">
      <c r="A89" s="147" t="s">
        <v>593</v>
      </c>
      <c r="B89" s="487" t="s">
        <v>847</v>
      </c>
      <c r="C89" s="649">
        <v>102653</v>
      </c>
      <c r="D89" s="560">
        <v>202422</v>
      </c>
      <c r="E89" s="577">
        <v>12166</v>
      </c>
      <c r="F89" s="578">
        <v>190256</v>
      </c>
      <c r="G89" s="247" t="s">
        <v>849</v>
      </c>
    </row>
    <row r="90" spans="1:7" x14ac:dyDescent="0.2">
      <c r="A90" s="147"/>
      <c r="B90" s="138"/>
      <c r="C90" s="538"/>
      <c r="D90" s="543"/>
      <c r="E90" s="542"/>
      <c r="F90" s="544"/>
      <c r="G90" s="541"/>
    </row>
    <row r="91" spans="1:7" s="95" customFormat="1" x14ac:dyDescent="0.2">
      <c r="A91" s="145" t="s">
        <v>606</v>
      </c>
      <c r="B91" s="146" t="s">
        <v>403</v>
      </c>
      <c r="C91" s="545"/>
      <c r="D91" s="545"/>
      <c r="E91" s="545"/>
      <c r="F91" s="545"/>
      <c r="G91" s="540"/>
    </row>
    <row r="92" spans="1:7" x14ac:dyDescent="0.2">
      <c r="A92" s="147" t="s">
        <v>607</v>
      </c>
      <c r="B92" s="148" t="s">
        <v>591</v>
      </c>
      <c r="C92" s="542"/>
      <c r="D92" s="542"/>
      <c r="E92" s="542"/>
      <c r="F92" s="542"/>
      <c r="G92" s="541"/>
    </row>
    <row r="93" spans="1:7" x14ac:dyDescent="0.2">
      <c r="A93" s="147" t="s">
        <v>610</v>
      </c>
      <c r="B93" s="148" t="s">
        <v>591</v>
      </c>
      <c r="C93" s="542"/>
      <c r="D93" s="542"/>
      <c r="E93" s="542"/>
      <c r="F93" s="542"/>
      <c r="G93" s="541"/>
    </row>
    <row r="94" spans="1:7" x14ac:dyDescent="0.2">
      <c r="A94" s="147" t="s">
        <v>593</v>
      </c>
      <c r="B94" s="148" t="s">
        <v>591</v>
      </c>
      <c r="C94" s="542"/>
      <c r="D94" s="542"/>
      <c r="E94" s="542"/>
      <c r="F94" s="542"/>
      <c r="G94" s="541"/>
    </row>
    <row r="95" spans="1:7" s="95" customFormat="1" x14ac:dyDescent="0.2">
      <c r="A95" s="145" t="s">
        <v>633</v>
      </c>
      <c r="B95" s="146" t="s">
        <v>404</v>
      </c>
      <c r="C95" s="565">
        <f>C96+C97</f>
        <v>872</v>
      </c>
      <c r="D95" s="566"/>
      <c r="E95" s="566"/>
      <c r="F95" s="566"/>
      <c r="G95" s="567"/>
    </row>
    <row r="96" spans="1:7" s="95" customFormat="1" x14ac:dyDescent="0.2">
      <c r="A96" s="147" t="s">
        <v>685</v>
      </c>
      <c r="B96" s="247" t="s">
        <v>686</v>
      </c>
      <c r="C96" s="643">
        <v>300</v>
      </c>
      <c r="D96" s="568"/>
      <c r="E96" s="568"/>
      <c r="F96" s="568"/>
      <c r="G96" s="247" t="s">
        <v>802</v>
      </c>
    </row>
    <row r="97" spans="1:8" s="95" customFormat="1" x14ac:dyDescent="0.2">
      <c r="A97" s="147" t="s">
        <v>687</v>
      </c>
      <c r="B97" s="138" t="s">
        <v>801</v>
      </c>
      <c r="C97" s="643">
        <v>572</v>
      </c>
      <c r="D97" s="568"/>
      <c r="E97" s="568"/>
      <c r="F97" s="568"/>
      <c r="G97" s="247" t="s">
        <v>776</v>
      </c>
    </row>
    <row r="98" spans="1:8" s="95" customFormat="1" x14ac:dyDescent="0.2">
      <c r="A98" s="128"/>
      <c r="B98" s="350"/>
      <c r="C98" s="547"/>
      <c r="D98" s="568"/>
      <c r="E98" s="568"/>
      <c r="F98" s="568"/>
      <c r="G98" s="247"/>
    </row>
    <row r="99" spans="1:8" s="95" customFormat="1" x14ac:dyDescent="0.2">
      <c r="A99" s="128"/>
      <c r="B99" s="350"/>
      <c r="C99" s="547"/>
      <c r="D99" s="546"/>
      <c r="E99" s="546"/>
      <c r="F99" s="546"/>
      <c r="G99" s="541"/>
    </row>
    <row r="100" spans="1:8" s="95" customFormat="1" ht="38.25" x14ac:dyDescent="0.2">
      <c r="A100" s="145" t="s">
        <v>634</v>
      </c>
      <c r="B100" s="146" t="s">
        <v>688</v>
      </c>
      <c r="C100" s="565">
        <f>C101+C102+C103+C104+C105</f>
        <v>16091</v>
      </c>
      <c r="D100" s="545"/>
      <c r="E100" s="545"/>
      <c r="F100" s="545"/>
      <c r="G100" s="569"/>
    </row>
    <row r="101" spans="1:8" s="95" customFormat="1" x14ac:dyDescent="0.2">
      <c r="A101" s="147" t="s">
        <v>635</v>
      </c>
      <c r="B101" s="138" t="s">
        <v>675</v>
      </c>
      <c r="C101" s="635">
        <v>4524</v>
      </c>
      <c r="D101" s="546"/>
      <c r="E101" s="546"/>
      <c r="F101" s="546"/>
      <c r="G101" s="247" t="s">
        <v>706</v>
      </c>
      <c r="H101" s="351"/>
    </row>
    <row r="102" spans="1:8" s="95" customFormat="1" ht="25.5" x14ac:dyDescent="0.2">
      <c r="A102" s="147" t="s">
        <v>636</v>
      </c>
      <c r="B102" s="138" t="s">
        <v>676</v>
      </c>
      <c r="C102" s="635">
        <v>8690</v>
      </c>
      <c r="D102" s="546"/>
      <c r="E102" s="546"/>
      <c r="F102" s="546"/>
      <c r="G102" s="247" t="s">
        <v>677</v>
      </c>
      <c r="H102" s="351"/>
    </row>
    <row r="103" spans="1:8" s="95" customFormat="1" ht="25.5" x14ac:dyDescent="0.2">
      <c r="A103" s="147" t="s">
        <v>593</v>
      </c>
      <c r="B103" s="138" t="s">
        <v>845</v>
      </c>
      <c r="C103" s="635">
        <v>528</v>
      </c>
      <c r="D103" s="546"/>
      <c r="E103" s="546"/>
      <c r="F103" s="546"/>
      <c r="G103" s="570" t="s">
        <v>846</v>
      </c>
    </row>
    <row r="104" spans="1:8" ht="25.5" x14ac:dyDescent="0.2">
      <c r="A104" s="147"/>
      <c r="B104" s="138" t="s">
        <v>707</v>
      </c>
      <c r="C104" s="635">
        <v>1343</v>
      </c>
      <c r="D104" s="542"/>
      <c r="E104" s="542"/>
      <c r="F104" s="549"/>
      <c r="G104" s="570" t="s">
        <v>708</v>
      </c>
      <c r="H104" s="352"/>
    </row>
    <row r="105" spans="1:8" x14ac:dyDescent="0.2">
      <c r="A105" s="147"/>
      <c r="B105" s="138" t="s">
        <v>803</v>
      </c>
      <c r="C105" s="647">
        <v>1006</v>
      </c>
      <c r="D105" s="542"/>
      <c r="E105" s="542"/>
      <c r="G105" s="548"/>
    </row>
    <row r="106" spans="1:8" x14ac:dyDescent="0.2">
      <c r="A106" s="147"/>
      <c r="B106" s="138"/>
      <c r="C106" s="538"/>
      <c r="D106" s="542"/>
      <c r="E106" s="542"/>
      <c r="F106" s="542"/>
      <c r="G106" s="541"/>
    </row>
    <row r="107" spans="1:8" s="95" customFormat="1" ht="25.5" x14ac:dyDescent="0.2">
      <c r="A107" s="145" t="s">
        <v>637</v>
      </c>
      <c r="B107" s="146" t="s">
        <v>689</v>
      </c>
      <c r="C107" s="545"/>
      <c r="D107" s="545"/>
      <c r="E107" s="545"/>
      <c r="F107" s="545"/>
      <c r="G107" s="540"/>
    </row>
    <row r="108" spans="1:8" x14ac:dyDescent="0.2">
      <c r="A108" s="147" t="s">
        <v>638</v>
      </c>
      <c r="B108" s="148" t="s">
        <v>591</v>
      </c>
      <c r="C108" s="542"/>
      <c r="D108" s="542"/>
      <c r="E108" s="542"/>
      <c r="F108" s="542"/>
      <c r="G108" s="541"/>
    </row>
    <row r="109" spans="1:8" x14ac:dyDescent="0.2">
      <c r="A109" s="147" t="s">
        <v>639</v>
      </c>
      <c r="B109" s="148" t="s">
        <v>591</v>
      </c>
      <c r="C109" s="542"/>
      <c r="D109" s="542"/>
      <c r="E109" s="542"/>
      <c r="F109" s="542"/>
      <c r="G109" s="541"/>
    </row>
    <row r="110" spans="1:8" x14ac:dyDescent="0.2">
      <c r="A110" s="147" t="s">
        <v>593</v>
      </c>
      <c r="B110" s="148" t="s">
        <v>591</v>
      </c>
      <c r="C110" s="542"/>
      <c r="D110" s="542"/>
      <c r="E110" s="542"/>
      <c r="F110" s="542"/>
      <c r="G110" s="541"/>
    </row>
    <row r="111" spans="1:8" s="95" customFormat="1" x14ac:dyDescent="0.2">
      <c r="A111" s="96" t="s">
        <v>640</v>
      </c>
      <c r="B111" s="149" t="s">
        <v>630</v>
      </c>
      <c r="C111" s="551"/>
      <c r="D111" s="551"/>
      <c r="E111" s="551"/>
      <c r="F111" s="551"/>
      <c r="G111" s="552"/>
    </row>
  </sheetData>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7</vt:i4>
      </vt:variant>
      <vt:variant>
        <vt:lpstr>Diapazoni ar nosaukumiem</vt:lpstr>
      </vt:variant>
      <vt:variant>
        <vt:i4>5</vt:i4>
      </vt:variant>
    </vt:vector>
  </HeadingPairs>
  <TitlesOfParts>
    <vt:vector size="12" baseType="lpstr">
      <vt:lpstr>Budžeta_tāme</vt:lpstr>
      <vt:lpstr>PZ_aprēķins</vt:lpstr>
      <vt:lpstr>Bilance</vt:lpstr>
      <vt:lpstr>Naudas_plūsma</vt:lpstr>
      <vt:lpstr>Naturālie_rādītāji</vt:lpstr>
      <vt:lpstr>Ieguldījumu_tāme</vt:lpstr>
      <vt:lpstr>Kreditori_Debitori</vt:lpstr>
      <vt:lpstr>Bilance!Drukas_apgabals</vt:lpstr>
      <vt:lpstr>Budžeta_tāme!Drukas_apgabals</vt:lpstr>
      <vt:lpstr>Naturālie_rādītāji!Drukas_apgabals</vt:lpstr>
      <vt:lpstr>Naudas_plūsma!Drukas_apgabals</vt:lpstr>
      <vt:lpstr>Naturālie_rādītāji!Drukāt_virsrakstus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Ieva Kļaviņa</cp:lastModifiedBy>
  <cp:lastPrinted>2022-01-31T10:41:24Z</cp:lastPrinted>
  <dcterms:created xsi:type="dcterms:W3CDTF">2015-06-08T06:33:04Z</dcterms:created>
  <dcterms:modified xsi:type="dcterms:W3CDTF">2022-03-25T10:11:30Z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5a320f60-c6ab-4277-be08-d6d35fa3b0e4</vt:lpwstr>
  </property>
  <property fmtid="{D5CDD505-2E9C-101B-9397-08002B2CF9AE}" pid="3" name="Workbook type">
    <vt:lpwstr>Custom</vt:lpwstr>
  </property>
  <property fmtid="{D5CDD505-2E9C-101B-9397-08002B2CF9AE}" pid="4" name="Workbook version">
    <vt:lpwstr>Custom</vt:lpwstr>
  </property>
</Properties>
</file>